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64011"/>
  <bookViews>
    <workbookView xWindow="0" yWindow="0" windowWidth="28800" windowHeight="11100"/>
  </bookViews>
  <sheets>
    <sheet name="корп 8" sheetId="12" r:id="rId1"/>
    <sheet name="бл-во" sheetId="1" state="hidden" r:id="rId2"/>
    <sheet name="планировка уч. 17" sheetId="6" state="hidden" r:id="rId3"/>
    <sheet name="планировка уч. 18" sheetId="4" state="hidden" r:id="rId4"/>
  </sheets>
  <definedNames>
    <definedName name="_xlnm._FilterDatabase" localSheetId="0" hidden="1">'корп 8'!$A$11:$N$145</definedName>
    <definedName name="Excel_BuiltIn_Print_Area_2" localSheetId="0">#REF!</definedName>
    <definedName name="Excel_BuiltIn_Print_Area_2">#REF!</definedName>
    <definedName name="д" localSheetId="0">#REF!</definedName>
    <definedName name="д">#REF!</definedName>
    <definedName name="_xlnm.Print_Area" localSheetId="0">'корп 8'!$A$1:$N$179</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52" i="12" l="1"/>
  <c r="K52" i="12"/>
  <c r="G131" i="12" l="1"/>
  <c r="L128" i="12" l="1"/>
  <c r="K128" i="12"/>
  <c r="D128" i="12"/>
  <c r="D52" i="12"/>
  <c r="G55" i="12"/>
  <c r="G54" i="12"/>
  <c r="L19" i="12" l="1"/>
  <c r="K19" i="12"/>
  <c r="G26" i="12" l="1"/>
  <c r="G28" i="12" l="1"/>
  <c r="G29" i="12" s="1"/>
  <c r="J21" i="12"/>
  <c r="K21" i="12"/>
  <c r="L21" i="12"/>
  <c r="J22" i="12"/>
  <c r="K22" i="12"/>
  <c r="L22" i="12"/>
  <c r="J23" i="12"/>
  <c r="K23" i="12"/>
  <c r="L23" i="12"/>
  <c r="M22" i="12" l="1"/>
  <c r="M23" i="12"/>
  <c r="M21" i="12"/>
  <c r="D114" i="12"/>
  <c r="G126" i="12" l="1"/>
  <c r="G127" i="12" s="1"/>
  <c r="G124" i="12"/>
  <c r="G125" i="12" s="1"/>
  <c r="G122" i="12"/>
  <c r="G123" i="12" s="1"/>
  <c r="G119" i="12"/>
  <c r="G121" i="12" s="1"/>
  <c r="G117" i="12"/>
  <c r="G118" i="12" s="1"/>
  <c r="G115" i="12"/>
  <c r="L115" i="12" s="1"/>
  <c r="H126" i="12"/>
  <c r="H124" i="12"/>
  <c r="J124" i="12" s="1"/>
  <c r="L122" i="12"/>
  <c r="H122" i="12"/>
  <c r="J122" i="12" s="1"/>
  <c r="H117" i="12"/>
  <c r="J117" i="12" s="1"/>
  <c r="F116" i="12"/>
  <c r="K126" i="12" l="1"/>
  <c r="G116" i="12"/>
  <c r="G120" i="12"/>
  <c r="H119" i="12" s="1"/>
  <c r="J119" i="12" s="1"/>
  <c r="J126" i="12"/>
  <c r="L126" i="12"/>
  <c r="K124" i="12"/>
  <c r="L124" i="12"/>
  <c r="K122" i="12"/>
  <c r="M122" i="12" s="1"/>
  <c r="L119" i="12"/>
  <c r="L117" i="12"/>
  <c r="K117" i="12"/>
  <c r="H115" i="12"/>
  <c r="M126" i="12" l="1"/>
  <c r="L114" i="12"/>
  <c r="M124" i="12"/>
  <c r="K119" i="12"/>
  <c r="M119" i="12" s="1"/>
  <c r="M117" i="12"/>
  <c r="K115" i="12"/>
  <c r="J115" i="12"/>
  <c r="D105" i="12"/>
  <c r="G112" i="12"/>
  <c r="G113" i="12" s="1"/>
  <c r="G110" i="12"/>
  <c r="G111" i="12" s="1"/>
  <c r="G108" i="12"/>
  <c r="G109" i="12" s="1"/>
  <c r="G106" i="12"/>
  <c r="D99" i="12"/>
  <c r="D90" i="12"/>
  <c r="G79" i="12"/>
  <c r="G80" i="12" s="1"/>
  <c r="G77" i="12"/>
  <c r="G78" i="12" s="1"/>
  <c r="G75" i="12"/>
  <c r="G76" i="12" s="1"/>
  <c r="G73" i="12"/>
  <c r="G72" i="12"/>
  <c r="D71" i="12"/>
  <c r="K114" i="12" l="1"/>
  <c r="M115" i="12"/>
  <c r="D43" i="12"/>
  <c r="D31" i="12" l="1"/>
  <c r="G61" i="12" l="1"/>
  <c r="G62" i="12" s="1"/>
  <c r="G59" i="12"/>
  <c r="G60" i="12" s="1"/>
  <c r="G56" i="12"/>
  <c r="G57" i="12" s="1"/>
  <c r="G53" i="12"/>
  <c r="G58" i="12" l="1"/>
  <c r="L140" i="12"/>
  <c r="K140" i="12"/>
  <c r="J140" i="12"/>
  <c r="L143" i="12"/>
  <c r="K143" i="12"/>
  <c r="J143" i="12"/>
  <c r="L142" i="12"/>
  <c r="K142" i="12"/>
  <c r="J142" i="12"/>
  <c r="L141" i="12"/>
  <c r="K141" i="12"/>
  <c r="J141" i="12"/>
  <c r="L139" i="12" l="1"/>
  <c r="K139" i="12"/>
  <c r="M143" i="12"/>
  <c r="M140" i="12"/>
  <c r="M142" i="12"/>
  <c r="M141" i="12"/>
  <c r="G129" i="12" l="1"/>
  <c r="L106" i="12" l="1"/>
  <c r="H112" i="12"/>
  <c r="J112" i="12" s="1"/>
  <c r="L110" i="12"/>
  <c r="H110" i="12"/>
  <c r="J110" i="12" s="1"/>
  <c r="L108" i="12"/>
  <c r="H108" i="12"/>
  <c r="J108" i="12" s="1"/>
  <c r="F107" i="12"/>
  <c r="G107" i="12" s="1"/>
  <c r="G101" i="12"/>
  <c r="L101" i="12" s="1"/>
  <c r="G103" i="12"/>
  <c r="G104" i="12" s="1"/>
  <c r="H103" i="12"/>
  <c r="J103" i="12" s="1"/>
  <c r="H101" i="12"/>
  <c r="J101" i="12" s="1"/>
  <c r="J100" i="12"/>
  <c r="L100" i="12"/>
  <c r="H97" i="12"/>
  <c r="J97" i="12" s="1"/>
  <c r="G97" i="12"/>
  <c r="L97" i="12" s="1"/>
  <c r="H95" i="12"/>
  <c r="J95" i="12" s="1"/>
  <c r="G95" i="12"/>
  <c r="G96" i="12" s="1"/>
  <c r="H93" i="12"/>
  <c r="J93" i="12" s="1"/>
  <c r="G93" i="12"/>
  <c r="G94" i="12" s="1"/>
  <c r="F92" i="12"/>
  <c r="H91" i="12" s="1"/>
  <c r="J91" i="12" s="1"/>
  <c r="G91" i="12"/>
  <c r="G88" i="12"/>
  <c r="G89" i="12" s="1"/>
  <c r="G86" i="12"/>
  <c r="G87" i="12" s="1"/>
  <c r="G83" i="12"/>
  <c r="G85" i="12" s="1"/>
  <c r="G82" i="12"/>
  <c r="G69" i="12"/>
  <c r="G70" i="12" s="1"/>
  <c r="G67" i="12"/>
  <c r="G68" i="12" s="1"/>
  <c r="G65" i="12"/>
  <c r="G66" i="12" s="1"/>
  <c r="G64" i="12"/>
  <c r="K64" i="12" s="1"/>
  <c r="H65" i="12"/>
  <c r="J65" i="12" s="1"/>
  <c r="D64" i="12"/>
  <c r="D63" i="12" s="1"/>
  <c r="H69" i="12"/>
  <c r="J69" i="12" s="1"/>
  <c r="H67" i="12"/>
  <c r="J67" i="12" s="1"/>
  <c r="J64" i="12"/>
  <c r="G92" i="12" l="1"/>
  <c r="K110" i="12"/>
  <c r="M110" i="12" s="1"/>
  <c r="G102" i="12"/>
  <c r="K112" i="12"/>
  <c r="L112" i="12"/>
  <c r="L105" i="12" s="1"/>
  <c r="L93" i="12"/>
  <c r="H106" i="12"/>
  <c r="K108" i="12"/>
  <c r="M108" i="12" s="1"/>
  <c r="K106" i="12"/>
  <c r="J106" i="12"/>
  <c r="K103" i="12"/>
  <c r="L103" i="12"/>
  <c r="L99" i="12" s="1"/>
  <c r="K100" i="12"/>
  <c r="K101" i="12"/>
  <c r="M101" i="12" s="1"/>
  <c r="G98" i="12"/>
  <c r="L91" i="12"/>
  <c r="G84" i="12"/>
  <c r="K93" i="12"/>
  <c r="K97" i="12"/>
  <c r="M97" i="12" s="1"/>
  <c r="K95" i="12"/>
  <c r="K91" i="12"/>
  <c r="L95" i="12"/>
  <c r="L67" i="12"/>
  <c r="L64" i="12"/>
  <c r="K69" i="12"/>
  <c r="L69" i="12"/>
  <c r="K67" i="12"/>
  <c r="K105" i="12" l="1"/>
  <c r="M105" i="12" s="1"/>
  <c r="M106" i="12"/>
  <c r="K99" i="12"/>
  <c r="M99" i="12" s="1"/>
  <c r="K90" i="12"/>
  <c r="L90" i="12"/>
  <c r="M64" i="12"/>
  <c r="M112" i="12"/>
  <c r="M93" i="12"/>
  <c r="M103" i="12"/>
  <c r="M100" i="12"/>
  <c r="M91" i="12"/>
  <c r="M95" i="12"/>
  <c r="M67" i="12"/>
  <c r="M69" i="12"/>
  <c r="G50" i="12"/>
  <c r="G48" i="12"/>
  <c r="G49" i="12" s="1"/>
  <c r="G46" i="12"/>
  <c r="G44" i="12"/>
  <c r="G45" i="12" s="1"/>
  <c r="M90" i="12" l="1"/>
  <c r="H41" i="12"/>
  <c r="H39" i="12"/>
  <c r="H34" i="12"/>
  <c r="H32" i="12"/>
  <c r="G41" i="12"/>
  <c r="G39" i="12"/>
  <c r="G40" i="12" s="1"/>
  <c r="G36" i="12"/>
  <c r="G38" i="12" s="1"/>
  <c r="G34" i="12"/>
  <c r="G35" i="12" s="1"/>
  <c r="G32" i="12"/>
  <c r="G33" i="12" s="1"/>
  <c r="G37" i="12" l="1"/>
  <c r="H36" i="12" s="1"/>
  <c r="L147" i="12"/>
  <c r="L146" i="12" s="1"/>
  <c r="K147" i="12"/>
  <c r="K146" i="12" s="1"/>
  <c r="J147" i="12"/>
  <c r="L145" i="12"/>
  <c r="L144" i="12" s="1"/>
  <c r="K145" i="12"/>
  <c r="K144" i="12" s="1"/>
  <c r="J145" i="12"/>
  <c r="L138" i="12"/>
  <c r="L137" i="12" s="1"/>
  <c r="K138" i="12"/>
  <c r="K137" i="12" s="1"/>
  <c r="J138" i="12"/>
  <c r="G136" i="12"/>
  <c r="H135" i="12" s="1"/>
  <c r="L135" i="12"/>
  <c r="G134" i="12"/>
  <c r="H133" i="12" s="1"/>
  <c r="L133" i="12"/>
  <c r="G132" i="12"/>
  <c r="H131" i="12" s="1"/>
  <c r="L131" i="12"/>
  <c r="H88" i="12"/>
  <c r="J88" i="12" s="1"/>
  <c r="L88" i="12"/>
  <c r="H86" i="12"/>
  <c r="J86" i="12" s="1"/>
  <c r="L86" i="12"/>
  <c r="J82" i="12"/>
  <c r="K82" i="12"/>
  <c r="D82" i="12"/>
  <c r="D81" i="12" s="1"/>
  <c r="H79" i="12"/>
  <c r="J79" i="12" s="1"/>
  <c r="H77" i="12"/>
  <c r="J77" i="12" s="1"/>
  <c r="L77" i="12"/>
  <c r="H75" i="12"/>
  <c r="J75" i="12" s="1"/>
  <c r="F74" i="12"/>
  <c r="H61" i="12"/>
  <c r="K61" i="12" s="1"/>
  <c r="L61" i="12"/>
  <c r="H59" i="12"/>
  <c r="J59" i="12" s="1"/>
  <c r="H50" i="12"/>
  <c r="J50" i="12" s="1"/>
  <c r="G51" i="12"/>
  <c r="L48" i="12"/>
  <c r="H48" i="12"/>
  <c r="H46" i="12"/>
  <c r="J46" i="12" s="1"/>
  <c r="L46" i="12"/>
  <c r="H44" i="12"/>
  <c r="J44" i="12" s="1"/>
  <c r="G42" i="12"/>
  <c r="J39" i="12"/>
  <c r="J34" i="12"/>
  <c r="J32" i="12"/>
  <c r="H28" i="12"/>
  <c r="J28" i="12" s="1"/>
  <c r="L27" i="12"/>
  <c r="K27" i="12"/>
  <c r="J27" i="12"/>
  <c r="J26" i="12"/>
  <c r="L24" i="12"/>
  <c r="K24" i="12"/>
  <c r="J24" i="12"/>
  <c r="L20" i="12"/>
  <c r="K20" i="12"/>
  <c r="J20" i="12"/>
  <c r="L130" i="12" l="1"/>
  <c r="H73" i="12"/>
  <c r="J73" i="12" s="1"/>
  <c r="G74" i="12"/>
  <c r="K135" i="12"/>
  <c r="M27" i="12"/>
  <c r="M144" i="12"/>
  <c r="M138" i="12"/>
  <c r="M24" i="12"/>
  <c r="M147" i="12"/>
  <c r="M137" i="12"/>
  <c r="M128" i="12"/>
  <c r="K65" i="12"/>
  <c r="K63" i="12" s="1"/>
  <c r="L65" i="12"/>
  <c r="L63" i="12" s="1"/>
  <c r="K88" i="12"/>
  <c r="M88" i="12" s="1"/>
  <c r="K73" i="12"/>
  <c r="M20" i="12"/>
  <c r="H56" i="12"/>
  <c r="K56" i="12" s="1"/>
  <c r="J61" i="12"/>
  <c r="K75" i="12"/>
  <c r="L75" i="12"/>
  <c r="M145" i="12"/>
  <c r="L83" i="12"/>
  <c r="L56" i="12"/>
  <c r="H83" i="12"/>
  <c r="K83" i="12" s="1"/>
  <c r="K77" i="12"/>
  <c r="M77" i="12" s="1"/>
  <c r="L73" i="12"/>
  <c r="K59" i="12"/>
  <c r="K79" i="12"/>
  <c r="K86" i="12"/>
  <c r="M86" i="12" s="1"/>
  <c r="L59" i="12"/>
  <c r="L79" i="12"/>
  <c r="L50" i="12"/>
  <c r="K44" i="12"/>
  <c r="L44" i="12"/>
  <c r="K48" i="12"/>
  <c r="M48" i="12" s="1"/>
  <c r="K41" i="12"/>
  <c r="L41" i="12"/>
  <c r="M61" i="12"/>
  <c r="L34" i="12"/>
  <c r="K34" i="12"/>
  <c r="K133" i="12"/>
  <c r="M133" i="12" s="1"/>
  <c r="J133" i="12"/>
  <c r="K131" i="12"/>
  <c r="K130" i="12" s="1"/>
  <c r="J131" i="12"/>
  <c r="J48" i="12"/>
  <c r="L82" i="12"/>
  <c r="G47" i="12"/>
  <c r="J41" i="12"/>
  <c r="L32" i="12"/>
  <c r="M146" i="12"/>
  <c r="L36" i="12"/>
  <c r="K46" i="12"/>
  <c r="K50" i="12"/>
  <c r="K32" i="12"/>
  <c r="K28" i="12"/>
  <c r="L28" i="12"/>
  <c r="L43" i="12" l="1"/>
  <c r="M130" i="12"/>
  <c r="K43" i="12"/>
  <c r="K81" i="12"/>
  <c r="L81" i="12"/>
  <c r="K71" i="12"/>
  <c r="L71" i="12"/>
  <c r="J135" i="12"/>
  <c r="M135" i="12"/>
  <c r="M19" i="12"/>
  <c r="M73" i="12"/>
  <c r="M83" i="12"/>
  <c r="M65" i="12"/>
  <c r="M63" i="12"/>
  <c r="M139" i="12"/>
  <c r="M41" i="12"/>
  <c r="M59" i="12"/>
  <c r="M56" i="12"/>
  <c r="J56" i="12"/>
  <c r="J83" i="12"/>
  <c r="M79" i="12"/>
  <c r="M34" i="12"/>
  <c r="M75" i="12"/>
  <c r="M44" i="12"/>
  <c r="M50" i="12"/>
  <c r="J36" i="12"/>
  <c r="K36" i="12"/>
  <c r="M36" i="12" s="1"/>
  <c r="L26" i="12"/>
  <c r="L25" i="12" s="1"/>
  <c r="L18" i="12" s="1"/>
  <c r="K26" i="12"/>
  <c r="K25" i="12" s="1"/>
  <c r="K18" i="12" s="1"/>
  <c r="L39" i="12"/>
  <c r="L31" i="12" s="1"/>
  <c r="K39" i="12"/>
  <c r="M131" i="12"/>
  <c r="M28" i="12"/>
  <c r="M82" i="12"/>
  <c r="M46" i="12"/>
  <c r="M32" i="12"/>
  <c r="L30" i="12" l="1"/>
  <c r="L148" i="12" s="1"/>
  <c r="K31" i="12"/>
  <c r="K30" i="12" s="1"/>
  <c r="K148" i="12" s="1"/>
  <c r="M52" i="12"/>
  <c r="M114" i="12"/>
  <c r="M71" i="12"/>
  <c r="M39" i="12"/>
  <c r="M81" i="12"/>
  <c r="M43" i="12"/>
  <c r="M26" i="12"/>
  <c r="M18" i="12" l="1"/>
  <c r="M31" i="12"/>
  <c r="M30" i="12"/>
  <c r="M25" i="12"/>
  <c r="M148" i="12" l="1"/>
  <c r="C34" i="4" l="1"/>
  <c r="C33" i="4"/>
  <c r="C32" i="4"/>
  <c r="C31" i="4"/>
  <c r="C30" i="4"/>
  <c r="C29" i="4"/>
  <c r="C28" i="4"/>
  <c r="C27" i="4"/>
  <c r="C16" i="4"/>
  <c r="C15" i="4"/>
  <c r="C13" i="4"/>
  <c r="C7" i="4"/>
  <c r="C6" i="4"/>
  <c r="C5" i="4"/>
  <c r="C49" i="6"/>
  <c r="C48" i="6"/>
  <c r="C43" i="6"/>
  <c r="C42" i="6"/>
  <c r="C40" i="6"/>
  <c r="C39" i="6"/>
  <c r="C38" i="6"/>
  <c r="C37" i="6"/>
  <c r="C36" i="6"/>
  <c r="C35" i="6"/>
  <c r="C34" i="6"/>
  <c r="C33" i="6"/>
  <c r="C32" i="6"/>
  <c r="C31" i="6"/>
  <c r="C30" i="6"/>
  <c r="C29" i="6"/>
  <c r="C19" i="6"/>
  <c r="C18" i="6"/>
  <c r="C17" i="6"/>
  <c r="C16" i="6"/>
  <c r="C15" i="6"/>
  <c r="C14" i="6"/>
  <c r="C13" i="6"/>
  <c r="C12" i="6"/>
  <c r="C11" i="6"/>
  <c r="I16" i="1" l="1"/>
  <c r="H7" i="1"/>
  <c r="H10" i="1"/>
  <c r="D83" i="1"/>
  <c r="S39" i="1" l="1"/>
  <c r="S38" i="1"/>
  <c r="S37" i="1"/>
  <c r="V13" i="1" l="1"/>
  <c r="U23" i="1"/>
  <c r="H25" i="1"/>
  <c r="S33" i="1"/>
  <c r="S34" i="1"/>
  <c r="F34" i="1"/>
  <c r="F33" i="1"/>
  <c r="C46" i="4" l="1"/>
  <c r="C79" i="6"/>
  <c r="C78" i="6"/>
  <c r="C77" i="6"/>
  <c r="C76" i="6"/>
  <c r="C54" i="6" l="1"/>
  <c r="C53" i="6"/>
  <c r="C52" i="6"/>
  <c r="C51" i="6"/>
  <c r="E79" i="6" l="1"/>
  <c r="G79" i="6" s="1"/>
  <c r="KT23" i="6"/>
  <c r="F78" i="6" s="1"/>
  <c r="E78" i="6"/>
  <c r="H78" i="6"/>
  <c r="F77" i="6"/>
  <c r="E77" i="6"/>
  <c r="G77" i="6" s="1"/>
  <c r="KL23" i="6"/>
  <c r="F76" i="6" s="1"/>
  <c r="E76" i="6"/>
  <c r="D73" i="6"/>
  <c r="E73" i="6" s="1"/>
  <c r="G73" i="6" s="1"/>
  <c r="KG47" i="6"/>
  <c r="KB47" i="6"/>
  <c r="D74" i="6" s="1"/>
  <c r="E74" i="6" s="1"/>
  <c r="G74" i="6" s="1"/>
  <c r="F74" i="6"/>
  <c r="KD23" i="6"/>
  <c r="H74" i="6"/>
  <c r="H73" i="6"/>
  <c r="C74" i="6"/>
  <c r="C73" i="6"/>
  <c r="D71" i="6"/>
  <c r="JY47" i="6"/>
  <c r="JT47" i="6"/>
  <c r="D72" i="6" s="1"/>
  <c r="JV23" i="6"/>
  <c r="F72" i="6" s="1"/>
  <c r="F71" i="6"/>
  <c r="C72" i="6"/>
  <c r="H71" i="6"/>
  <c r="C71" i="6"/>
  <c r="JO28" i="6"/>
  <c r="JO27" i="6"/>
  <c r="JO47" i="6" s="1"/>
  <c r="D70" i="6" s="1"/>
  <c r="E70" i="6" s="1"/>
  <c r="G70" i="6" s="1"/>
  <c r="JQ23" i="6"/>
  <c r="F70" i="6" s="1"/>
  <c r="C70" i="6"/>
  <c r="JJ27" i="6"/>
  <c r="JJ47" i="6" s="1"/>
  <c r="D69" i="6" s="1"/>
  <c r="E69" i="6" s="1"/>
  <c r="JL23" i="6"/>
  <c r="F69" i="6" s="1"/>
  <c r="C69" i="6"/>
  <c r="F68" i="6"/>
  <c r="JG23" i="6"/>
  <c r="C68" i="6"/>
  <c r="E68" i="6" s="1"/>
  <c r="JC23" i="6"/>
  <c r="F67" i="6" s="1"/>
  <c r="H67" i="6"/>
  <c r="C67" i="6"/>
  <c r="E67" i="6" s="1"/>
  <c r="G67" i="6" s="1"/>
  <c r="IV47" i="6"/>
  <c r="D66" i="6" s="1"/>
  <c r="E66" i="6" s="1"/>
  <c r="G66" i="6" s="1"/>
  <c r="IX23" i="6"/>
  <c r="F66" i="6" s="1"/>
  <c r="C66" i="6"/>
  <c r="H66" i="6"/>
  <c r="D65" i="6"/>
  <c r="IP47" i="6"/>
  <c r="IS23" i="6"/>
  <c r="F65" i="6" s="1"/>
  <c r="C65" i="6"/>
  <c r="E65" i="6"/>
  <c r="IJ47" i="6"/>
  <c r="D64" i="6" s="1"/>
  <c r="E64" i="6" s="1"/>
  <c r="IM23" i="6"/>
  <c r="F64" i="6" s="1"/>
  <c r="C64" i="6"/>
  <c r="IF47" i="6"/>
  <c r="D63" i="6" s="1"/>
  <c r="F63" i="6"/>
  <c r="IG23" i="6"/>
  <c r="C63" i="6"/>
  <c r="IA47" i="6"/>
  <c r="D62" i="6" s="1"/>
  <c r="E62" i="6" s="1"/>
  <c r="IC23" i="6"/>
  <c r="F62" i="6" s="1"/>
  <c r="H62" i="6"/>
  <c r="C62" i="6"/>
  <c r="HU47" i="6"/>
  <c r="D61" i="6" s="1"/>
  <c r="E61" i="6" s="1"/>
  <c r="HX23" i="6"/>
  <c r="F61" i="6" s="1"/>
  <c r="C61" i="6"/>
  <c r="HO47" i="6"/>
  <c r="D60" i="6" s="1"/>
  <c r="E60" i="6" s="1"/>
  <c r="HR23" i="6"/>
  <c r="F60" i="6" s="1"/>
  <c r="C60" i="6"/>
  <c r="D59" i="6"/>
  <c r="HH47" i="6"/>
  <c r="HL23" i="6"/>
  <c r="F59" i="6" s="1"/>
  <c r="C59" i="6"/>
  <c r="HE23" i="6"/>
  <c r="F58" i="6" s="1"/>
  <c r="HD47" i="6"/>
  <c r="D58" i="6" s="1"/>
  <c r="E58" i="6" s="1"/>
  <c r="G58" i="6" s="1"/>
  <c r="C58" i="6"/>
  <c r="GY36" i="6"/>
  <c r="GY27" i="6"/>
  <c r="HA23" i="6"/>
  <c r="F57" i="6" s="1"/>
  <c r="C57" i="6"/>
  <c r="GT47" i="6"/>
  <c r="D56" i="6" s="1"/>
  <c r="E56" i="6" s="1"/>
  <c r="GV23" i="6"/>
  <c r="F56" i="6" s="1"/>
  <c r="C56" i="6"/>
  <c r="GQ23" i="6"/>
  <c r="F54" i="6" s="1"/>
  <c r="GM23" i="6"/>
  <c r="F53" i="6" s="1"/>
  <c r="H53" i="6"/>
  <c r="GI47" i="6"/>
  <c r="D52" i="6" s="1"/>
  <c r="GD47" i="6"/>
  <c r="D51" i="6" s="1"/>
  <c r="E51" i="6" s="1"/>
  <c r="GP47" i="6"/>
  <c r="D54" i="6" s="1"/>
  <c r="GL47" i="6"/>
  <c r="D53" i="6" s="1"/>
  <c r="GI23" i="6"/>
  <c r="F52" i="6" s="1"/>
  <c r="GF23" i="6"/>
  <c r="F51" i="6" s="1"/>
  <c r="H51" i="6"/>
  <c r="GA47" i="6"/>
  <c r="D49" i="6" s="1"/>
  <c r="E49" i="6" s="1"/>
  <c r="G49" i="6" s="1"/>
  <c r="H49" i="6"/>
  <c r="FW47" i="6"/>
  <c r="D48" i="6" s="1"/>
  <c r="F48" i="6"/>
  <c r="H48" i="6"/>
  <c r="D46" i="6"/>
  <c r="F46" i="6"/>
  <c r="C46" i="6"/>
  <c r="FN47" i="6"/>
  <c r="D45" i="6" s="1"/>
  <c r="FS23" i="6"/>
  <c r="F45" i="6" s="1"/>
  <c r="H45" i="6"/>
  <c r="C45" i="6"/>
  <c r="E40" i="6"/>
  <c r="G40" i="6" s="1"/>
  <c r="I40" i="6" s="1"/>
  <c r="D39" i="6"/>
  <c r="F39" i="6"/>
  <c r="F38" i="6"/>
  <c r="E38" i="6"/>
  <c r="E37" i="6"/>
  <c r="G37" i="6" s="1"/>
  <c r="I37" i="6" s="1"/>
  <c r="F36" i="6"/>
  <c r="E36" i="6"/>
  <c r="H36" i="6"/>
  <c r="D35" i="6"/>
  <c r="E35" i="6" s="1"/>
  <c r="FC23" i="6"/>
  <c r="F35" i="6" s="1"/>
  <c r="H35" i="6"/>
  <c r="E34" i="6"/>
  <c r="G34" i="6" s="1"/>
  <c r="I34" i="6" s="1"/>
  <c r="D33" i="6"/>
  <c r="EZ23" i="6"/>
  <c r="F33" i="6" s="1"/>
  <c r="F32" i="6"/>
  <c r="E32" i="6"/>
  <c r="F31" i="6"/>
  <c r="H31" i="6"/>
  <c r="D31" i="6"/>
  <c r="F30" i="6"/>
  <c r="H30" i="6"/>
  <c r="E30" i="6"/>
  <c r="D29" i="6"/>
  <c r="EW23" i="6"/>
  <c r="F29" i="6" s="1"/>
  <c r="ET47" i="6"/>
  <c r="D27" i="6" s="1"/>
  <c r="EQ47" i="6"/>
  <c r="D26" i="6" s="1"/>
  <c r="C27" i="6"/>
  <c r="F26" i="6"/>
  <c r="G60" i="6" l="1"/>
  <c r="G69" i="6"/>
  <c r="G64" i="6"/>
  <c r="E59" i="6"/>
  <c r="G59" i="6" s="1"/>
  <c r="E71" i="6"/>
  <c r="G71" i="6" s="1"/>
  <c r="G76" i="6"/>
  <c r="E46" i="6"/>
  <c r="G46" i="6" s="1"/>
  <c r="E72" i="6"/>
  <c r="G72" i="6" s="1"/>
  <c r="GY47" i="6"/>
  <c r="D57" i="6" s="1"/>
  <c r="E57" i="6" s="1"/>
  <c r="G57" i="6" s="1"/>
  <c r="E63" i="6"/>
  <c r="G63" i="6" s="1"/>
  <c r="G78" i="6"/>
  <c r="G68" i="6"/>
  <c r="G65" i="6"/>
  <c r="G62" i="6"/>
  <c r="G61" i="6"/>
  <c r="G51" i="6"/>
  <c r="E53" i="6"/>
  <c r="G53" i="6" s="1"/>
  <c r="G36" i="6"/>
  <c r="I36" i="6" s="1"/>
  <c r="E54" i="6"/>
  <c r="G54" i="6" s="1"/>
  <c r="G56" i="6"/>
  <c r="E45" i="6"/>
  <c r="G45" i="6" s="1"/>
  <c r="E48" i="6"/>
  <c r="G48" i="6" s="1"/>
  <c r="G38" i="6"/>
  <c r="I38" i="6" s="1"/>
  <c r="E52" i="6"/>
  <c r="G52" i="6" s="1"/>
  <c r="E39" i="6"/>
  <c r="G39" i="6" s="1"/>
  <c r="I39" i="6" s="1"/>
  <c r="G35" i="6"/>
  <c r="I35" i="6" s="1"/>
  <c r="E33" i="6"/>
  <c r="G33" i="6" s="1"/>
  <c r="E27" i="6"/>
  <c r="G27" i="6" s="1"/>
  <c r="G30" i="6"/>
  <c r="G32" i="6"/>
  <c r="E29" i="6"/>
  <c r="G29" i="6" s="1"/>
  <c r="E31" i="6"/>
  <c r="G31" i="6" s="1"/>
  <c r="D43" i="6"/>
  <c r="FK23" i="6"/>
  <c r="F43" i="6" s="1"/>
  <c r="D42" i="6"/>
  <c r="FG23" i="6"/>
  <c r="F42" i="6" s="1"/>
  <c r="C26" i="6"/>
  <c r="E26" i="6" s="1"/>
  <c r="G26" i="6" s="1"/>
  <c r="C11" i="4"/>
  <c r="C10" i="4"/>
  <c r="C9" i="4"/>
  <c r="C24" i="6"/>
  <c r="E24" i="6" s="1"/>
  <c r="G24" i="6" s="1"/>
  <c r="C23" i="6"/>
  <c r="E23" i="6" s="1"/>
  <c r="C22" i="6"/>
  <c r="E22" i="6" s="1"/>
  <c r="C21" i="6"/>
  <c r="E21" i="6" s="1"/>
  <c r="H24" i="6"/>
  <c r="H23" i="6"/>
  <c r="EN23" i="6"/>
  <c r="F23" i="6" s="1"/>
  <c r="F22" i="6"/>
  <c r="H22" i="6"/>
  <c r="H21" i="6"/>
  <c r="EJ23" i="6"/>
  <c r="F21" i="6" s="1"/>
  <c r="EC47" i="6"/>
  <c r="EF23" i="6"/>
  <c r="DW47" i="6"/>
  <c r="D19" i="6" s="1"/>
  <c r="DY23" i="6"/>
  <c r="F19" i="6" s="1"/>
  <c r="H19" i="6"/>
  <c r="E43" i="6" l="1"/>
  <c r="G43" i="6" s="1"/>
  <c r="E19" i="6"/>
  <c r="G19" i="6" s="1"/>
  <c r="G23" i="6"/>
  <c r="G21" i="6"/>
  <c r="E42" i="6"/>
  <c r="G42" i="6" s="1"/>
  <c r="G22" i="6"/>
  <c r="DQ47" i="6" l="1"/>
  <c r="D18" i="6" s="1"/>
  <c r="DT23" i="6" l="1"/>
  <c r="F18" i="6" s="1"/>
  <c r="E18" i="6"/>
  <c r="H18" i="6"/>
  <c r="DK47" i="6"/>
  <c r="D17" i="6" s="1"/>
  <c r="DM23" i="6"/>
  <c r="F17" i="6" s="1"/>
  <c r="DF47" i="6"/>
  <c r="D16" i="6" s="1"/>
  <c r="DH23" i="6"/>
  <c r="F16" i="6" s="1"/>
  <c r="CZ47" i="6"/>
  <c r="D15" i="6" s="1"/>
  <c r="DB23" i="6"/>
  <c r="F15" i="6" s="1"/>
  <c r="H15" i="6"/>
  <c r="CW47" i="6"/>
  <c r="D14" i="6" s="1"/>
  <c r="CW23" i="6"/>
  <c r="F14" i="6" s="1"/>
  <c r="H14" i="6"/>
  <c r="F13" i="6"/>
  <c r="H13" i="6"/>
  <c r="E13" i="6"/>
  <c r="CR47" i="6"/>
  <c r="D12" i="6" s="1"/>
  <c r="CT23" i="6"/>
  <c r="F12" i="6" s="1"/>
  <c r="CL47" i="6"/>
  <c r="D11" i="6" s="1"/>
  <c r="CO23" i="6"/>
  <c r="F11" i="6" s="1"/>
  <c r="CF47" i="6"/>
  <c r="D9" i="6" s="1"/>
  <c r="CH23" i="6"/>
  <c r="F9" i="6" s="1"/>
  <c r="C9" i="6"/>
  <c r="E17" i="6" l="1"/>
  <c r="G17" i="6" s="1"/>
  <c r="I17" i="6" s="1"/>
  <c r="E9" i="6"/>
  <c r="G9" i="6" s="1"/>
  <c r="E14" i="6"/>
  <c r="E15" i="6"/>
  <c r="E11" i="6"/>
  <c r="G11" i="6" s="1"/>
  <c r="I11" i="6" s="1"/>
  <c r="E16" i="6"/>
  <c r="G16" i="6" s="1"/>
  <c r="I16" i="6" s="1"/>
  <c r="G14" i="6"/>
  <c r="I14" i="6" s="1"/>
  <c r="G15" i="6"/>
  <c r="I15" i="6" s="1"/>
  <c r="G18" i="6"/>
  <c r="E12" i="6"/>
  <c r="G12" i="6" s="1"/>
  <c r="I12" i="6" s="1"/>
  <c r="G13" i="6"/>
  <c r="I13" i="6" s="1"/>
  <c r="BZ47" i="6"/>
  <c r="D8" i="6" s="1"/>
  <c r="CC23" i="6"/>
  <c r="F8" i="6" s="1"/>
  <c r="H8" i="6"/>
  <c r="C8" i="6"/>
  <c r="BM47" i="6"/>
  <c r="D7" i="6" s="1"/>
  <c r="BW23" i="6"/>
  <c r="F7" i="6" s="1"/>
  <c r="C7" i="6"/>
  <c r="BE47" i="6"/>
  <c r="D6" i="6" s="1"/>
  <c r="BI23" i="6"/>
  <c r="F6" i="6" s="1"/>
  <c r="C6" i="6"/>
  <c r="BB23" i="6"/>
  <c r="F5" i="6" s="1"/>
  <c r="AU47" i="6"/>
  <c r="D5" i="6" s="1"/>
  <c r="C5" i="6"/>
  <c r="AQ23" i="6"/>
  <c r="F4" i="6" s="1"/>
  <c r="AL47" i="6"/>
  <c r="D4" i="6" s="1"/>
  <c r="C4" i="6"/>
  <c r="AH23" i="6"/>
  <c r="F3" i="6" s="1"/>
  <c r="V47" i="6"/>
  <c r="D3" i="6" s="1"/>
  <c r="C3" i="6"/>
  <c r="M47" i="6"/>
  <c r="D2" i="6" s="1"/>
  <c r="Q23" i="6"/>
  <c r="F2" i="6" s="1"/>
  <c r="H2" i="6"/>
  <c r="I49" i="6"/>
  <c r="I50" i="6"/>
  <c r="I51" i="6"/>
  <c r="I52" i="6"/>
  <c r="I53" i="6"/>
  <c r="I54" i="6"/>
  <c r="I55" i="6"/>
  <c r="I56" i="6"/>
  <c r="I57" i="6"/>
  <c r="I58" i="6"/>
  <c r="I59" i="6"/>
  <c r="I60" i="6"/>
  <c r="I61" i="6"/>
  <c r="I62" i="6"/>
  <c r="I63" i="6"/>
  <c r="I64" i="6"/>
  <c r="I65" i="6"/>
  <c r="I66" i="6"/>
  <c r="I81" i="6"/>
  <c r="I80" i="6"/>
  <c r="I79" i="6"/>
  <c r="I78" i="6"/>
  <c r="I75" i="6"/>
  <c r="I72" i="6"/>
  <c r="I70" i="6"/>
  <c r="I69" i="6"/>
  <c r="I68" i="6"/>
  <c r="I67" i="6"/>
  <c r="I43" i="6"/>
  <c r="I47" i="6"/>
  <c r="I45" i="6"/>
  <c r="I44" i="6"/>
  <c r="I42" i="6"/>
  <c r="I41" i="6"/>
  <c r="I32" i="6"/>
  <c r="I30" i="6"/>
  <c r="I28" i="6"/>
  <c r="I27" i="6"/>
  <c r="I26" i="6"/>
  <c r="I25" i="6"/>
  <c r="I24" i="6"/>
  <c r="I20" i="6"/>
  <c r="I19" i="6"/>
  <c r="C2" i="6"/>
  <c r="H70" i="4"/>
  <c r="F70" i="4"/>
  <c r="E70" i="4"/>
  <c r="H69" i="4"/>
  <c r="F69" i="4"/>
  <c r="E69" i="4"/>
  <c r="H68" i="4"/>
  <c r="F68" i="4"/>
  <c r="E68" i="4"/>
  <c r="H67" i="4"/>
  <c r="F67" i="4"/>
  <c r="E67" i="4"/>
  <c r="E66" i="4"/>
  <c r="W72" i="4"/>
  <c r="F66" i="4" s="1"/>
  <c r="H64" i="4"/>
  <c r="F64" i="4"/>
  <c r="E64" i="4"/>
  <c r="H63" i="4"/>
  <c r="F63" i="4"/>
  <c r="E63" i="4"/>
  <c r="E62" i="4"/>
  <c r="D61" i="4"/>
  <c r="F62" i="4" s="1"/>
  <c r="T72" i="4"/>
  <c r="F61" i="4" s="1"/>
  <c r="H59" i="4"/>
  <c r="F59" i="4"/>
  <c r="D59" i="4"/>
  <c r="E59" i="4" s="1"/>
  <c r="F58" i="4"/>
  <c r="H58" i="4"/>
  <c r="E58" i="4"/>
  <c r="H57" i="4"/>
  <c r="E57" i="4"/>
  <c r="H56" i="4"/>
  <c r="D56" i="4"/>
  <c r="E56" i="4" s="1"/>
  <c r="Q72" i="4"/>
  <c r="F56" i="4" s="1"/>
  <c r="H54" i="4"/>
  <c r="F54" i="4"/>
  <c r="E54" i="4"/>
  <c r="H52" i="4"/>
  <c r="H53" i="4"/>
  <c r="E53" i="4"/>
  <c r="F52" i="4"/>
  <c r="D52" i="4"/>
  <c r="E52" i="4" s="1"/>
  <c r="N72" i="4"/>
  <c r="F51" i="4" s="1"/>
  <c r="E51" i="4"/>
  <c r="DC23" i="4"/>
  <c r="F46" i="4" s="1"/>
  <c r="E46" i="4"/>
  <c r="CW47" i="4"/>
  <c r="D44" i="4" s="1"/>
  <c r="E44" i="4" s="1"/>
  <c r="CX23" i="4"/>
  <c r="F44" i="4" s="1"/>
  <c r="D43" i="4"/>
  <c r="E43" i="4" s="1"/>
  <c r="CT23" i="4"/>
  <c r="F43" i="4" s="1"/>
  <c r="H43" i="4"/>
  <c r="CP47" i="4"/>
  <c r="D42" i="4" s="1"/>
  <c r="E42" i="4" s="1"/>
  <c r="CQ23" i="4"/>
  <c r="F42" i="4" s="1"/>
  <c r="H42" i="4"/>
  <c r="CL47" i="4"/>
  <c r="D41" i="4" s="1"/>
  <c r="E41" i="4" s="1"/>
  <c r="CM23" i="4"/>
  <c r="F41" i="4" s="1"/>
  <c r="H41" i="4"/>
  <c r="CH47" i="4"/>
  <c r="D40" i="4" s="1"/>
  <c r="E40" i="4" s="1"/>
  <c r="CI23" i="4"/>
  <c r="F40" i="4" s="1"/>
  <c r="H40" i="4"/>
  <c r="CD47" i="4"/>
  <c r="D39" i="4" s="1"/>
  <c r="E39" i="4" s="1"/>
  <c r="CE23" i="4"/>
  <c r="F39" i="4" s="1"/>
  <c r="H39" i="4"/>
  <c r="CA23" i="4"/>
  <c r="F38" i="4" s="1"/>
  <c r="E38" i="4"/>
  <c r="H38" i="4"/>
  <c r="BU47" i="4"/>
  <c r="D37" i="4" s="1"/>
  <c r="BN47" i="4"/>
  <c r="BX23" i="4"/>
  <c r="F37" i="4" s="1"/>
  <c r="E3" i="6" l="1"/>
  <c r="G3" i="6" s="1"/>
  <c r="I3" i="6" s="1"/>
  <c r="E7" i="6"/>
  <c r="E5" i="6"/>
  <c r="G5" i="6" s="1"/>
  <c r="I5" i="6" s="1"/>
  <c r="E6" i="6"/>
  <c r="G6" i="6" s="1"/>
  <c r="I6" i="6" s="1"/>
  <c r="E8" i="6"/>
  <c r="G8" i="6" s="1"/>
  <c r="I8" i="6" s="1"/>
  <c r="G7" i="6"/>
  <c r="I7" i="6" s="1"/>
  <c r="E4" i="6"/>
  <c r="G4" i="6" s="1"/>
  <c r="I4" i="6" s="1"/>
  <c r="I33" i="6"/>
  <c r="I22" i="6"/>
  <c r="I46" i="6"/>
  <c r="E2" i="6"/>
  <c r="G2" i="6" s="1"/>
  <c r="I2" i="6" s="1"/>
  <c r="I9" i="6"/>
  <c r="I21" i="6"/>
  <c r="I31" i="6"/>
  <c r="I73" i="6"/>
  <c r="I29" i="6"/>
  <c r="I76" i="6"/>
  <c r="I77" i="6"/>
  <c r="I10" i="6"/>
  <c r="I18" i="6"/>
  <c r="I23" i="6"/>
  <c r="I48" i="6"/>
  <c r="I71" i="6"/>
  <c r="I74" i="6"/>
  <c r="G59" i="4"/>
  <c r="G62" i="4"/>
  <c r="G66" i="4"/>
  <c r="G63" i="4"/>
  <c r="G67" i="4"/>
  <c r="F57" i="4"/>
  <c r="G57" i="4" s="1"/>
  <c r="G54" i="4"/>
  <c r="G56" i="4"/>
  <c r="G70" i="4"/>
  <c r="G40" i="4"/>
  <c r="G51" i="4"/>
  <c r="G46" i="4"/>
  <c r="G69" i="4"/>
  <c r="G58" i="4"/>
  <c r="G64" i="4"/>
  <c r="G68" i="4"/>
  <c r="G44" i="4"/>
  <c r="G52" i="4"/>
  <c r="F53" i="4"/>
  <c r="G53" i="4" s="1"/>
  <c r="E61" i="4"/>
  <c r="G61" i="4" s="1"/>
  <c r="G41" i="4"/>
  <c r="G43" i="4"/>
  <c r="G38" i="4"/>
  <c r="G42" i="4"/>
  <c r="G39" i="4"/>
  <c r="E37" i="4"/>
  <c r="G37" i="4" s="1"/>
  <c r="D36" i="4"/>
  <c r="BQ3" i="4"/>
  <c r="BR23" i="4" s="1"/>
  <c r="F36" i="4" s="1"/>
  <c r="I82" i="6" l="1"/>
  <c r="E36" i="4"/>
  <c r="G36" i="4" s="1"/>
  <c r="F34" i="4"/>
  <c r="H34" i="4"/>
  <c r="D34" i="4"/>
  <c r="D33" i="4"/>
  <c r="F33" i="4"/>
  <c r="H33" i="4"/>
  <c r="F32" i="4"/>
  <c r="D32" i="4"/>
  <c r="D31" i="4"/>
  <c r="F30" i="4"/>
  <c r="E30" i="4"/>
  <c r="D29" i="4"/>
  <c r="BK23" i="4"/>
  <c r="F29" i="4" s="1"/>
  <c r="F28" i="4"/>
  <c r="E28" i="4"/>
  <c r="F27" i="4"/>
  <c r="E27" i="4"/>
  <c r="D25" i="4"/>
  <c r="BH23" i="4"/>
  <c r="F25" i="4" s="1"/>
  <c r="C25" i="4"/>
  <c r="BE23" i="4"/>
  <c r="F24" i="4" s="1"/>
  <c r="C24" i="4"/>
  <c r="E24" i="4" s="1"/>
  <c r="BB23" i="4"/>
  <c r="F23" i="4" s="1"/>
  <c r="H23" i="4"/>
  <c r="C23" i="4"/>
  <c r="E23" i="4" s="1"/>
  <c r="H22" i="4"/>
  <c r="D22" i="4"/>
  <c r="AY23" i="4"/>
  <c r="F22" i="4" s="1"/>
  <c r="C22" i="4"/>
  <c r="AU47" i="4"/>
  <c r="AV23" i="4"/>
  <c r="F21" i="4" s="1"/>
  <c r="C21" i="4"/>
  <c r="AP47" i="4"/>
  <c r="D19" i="4" s="1"/>
  <c r="E34" i="4" l="1"/>
  <c r="G34" i="4" s="1"/>
  <c r="G24" i="4"/>
  <c r="E29" i="4"/>
  <c r="E31" i="4"/>
  <c r="G31" i="4" s="1"/>
  <c r="E25" i="4"/>
  <c r="G25" i="4" s="1"/>
  <c r="E22" i="4"/>
  <c r="G22" i="4" s="1"/>
  <c r="G28" i="4"/>
  <c r="D21" i="4"/>
  <c r="E21" i="4" s="1"/>
  <c r="G21" i="4" s="1"/>
  <c r="E33" i="4"/>
  <c r="G33" i="4" s="1"/>
  <c r="G27" i="4"/>
  <c r="G29" i="4"/>
  <c r="E32" i="4"/>
  <c r="G32" i="4" s="1"/>
  <c r="G30" i="4"/>
  <c r="G23" i="4"/>
  <c r="AR23" i="4"/>
  <c r="F19" i="4" s="1"/>
  <c r="C19" i="4"/>
  <c r="E19" i="4" s="1"/>
  <c r="AM47" i="4"/>
  <c r="D18" i="4" s="1"/>
  <c r="AM23" i="4"/>
  <c r="F18" i="4" s="1"/>
  <c r="C18" i="4"/>
  <c r="AJ23" i="4"/>
  <c r="F16" i="4" s="1"/>
  <c r="AJ47" i="4"/>
  <c r="D16" i="4" s="1"/>
  <c r="AG47" i="4"/>
  <c r="D15" i="4" s="1"/>
  <c r="H15" i="4"/>
  <c r="AG3" i="4"/>
  <c r="AG23" i="4" s="1"/>
  <c r="F15" i="4" s="1"/>
  <c r="AC47" i="4"/>
  <c r="D13" i="4" s="1"/>
  <c r="E13" i="4" s="1"/>
  <c r="AD23" i="4"/>
  <c r="F13" i="4" s="1"/>
  <c r="S15" i="1"/>
  <c r="F11" i="4"/>
  <c r="H11" i="4"/>
  <c r="E11" i="4"/>
  <c r="H10" i="4"/>
  <c r="E10" i="4"/>
  <c r="G10" i="4" s="1"/>
  <c r="D9" i="4"/>
  <c r="H9" i="4"/>
  <c r="E7" i="4"/>
  <c r="G7" i="4" s="1"/>
  <c r="E6" i="4"/>
  <c r="G6" i="4" s="1"/>
  <c r="H6" i="4"/>
  <c r="Y47" i="4"/>
  <c r="D5" i="4" s="1"/>
  <c r="Z23" i="4"/>
  <c r="F5" i="4" s="1"/>
  <c r="H5" i="4"/>
  <c r="V23" i="4"/>
  <c r="F3" i="4" s="1"/>
  <c r="M3" i="4"/>
  <c r="R23" i="4" s="1"/>
  <c r="F2" i="4" s="1"/>
  <c r="U47" i="4"/>
  <c r="D3" i="4" s="1"/>
  <c r="C3" i="4"/>
  <c r="C2" i="4"/>
  <c r="N47" i="4"/>
  <c r="D2" i="4" s="1"/>
  <c r="H15" i="1"/>
  <c r="J15" i="1"/>
  <c r="J7" i="1"/>
  <c r="S19" i="1"/>
  <c r="U7" i="1"/>
  <c r="W7" i="1" s="1"/>
  <c r="S17" i="1"/>
  <c r="W24" i="1"/>
  <c r="W23" i="1"/>
  <c r="W22" i="1"/>
  <c r="W21" i="1"/>
  <c r="W20" i="1"/>
  <c r="W19" i="1"/>
  <c r="W18" i="1"/>
  <c r="W17" i="1"/>
  <c r="W16" i="1"/>
  <c r="W15" i="1"/>
  <c r="W14" i="1"/>
  <c r="W13" i="1"/>
  <c r="U10" i="1"/>
  <c r="W10" i="1" s="1"/>
  <c r="W12" i="1"/>
  <c r="W11" i="1"/>
  <c r="U9" i="1"/>
  <c r="W9" i="1"/>
  <c r="W8" i="1"/>
  <c r="W6" i="1"/>
  <c r="W5" i="1"/>
  <c r="W4" i="1"/>
  <c r="W3" i="1"/>
  <c r="F20" i="1"/>
  <c r="H17" i="1"/>
  <c r="W28" i="1" l="1"/>
  <c r="E15" i="4"/>
  <c r="G15" i="4" s="1"/>
  <c r="E18" i="4"/>
  <c r="G18" i="4" s="1"/>
  <c r="E3" i="4"/>
  <c r="G3" i="4" s="1"/>
  <c r="E9" i="4"/>
  <c r="G9" i="4" s="1"/>
  <c r="E16" i="4"/>
  <c r="G16" i="4" s="1"/>
  <c r="G13" i="4"/>
  <c r="I6" i="4"/>
  <c r="E5" i="4"/>
  <c r="G5" i="4" s="1"/>
  <c r="I5" i="4" s="1"/>
  <c r="G11" i="4"/>
  <c r="G19" i="4"/>
  <c r="H11" i="1"/>
  <c r="J10" i="1"/>
  <c r="J5" i="1" l="1"/>
  <c r="J4" i="1"/>
  <c r="J6" i="1"/>
  <c r="J8" i="1"/>
  <c r="J9" i="1"/>
  <c r="J11" i="1"/>
  <c r="J12" i="1"/>
  <c r="J13" i="1"/>
  <c r="J14" i="1"/>
  <c r="J16" i="1"/>
  <c r="K16" i="1" s="1"/>
  <c r="J17" i="1"/>
  <c r="J18" i="1"/>
  <c r="J19" i="1"/>
  <c r="J20" i="1"/>
  <c r="J21" i="1"/>
  <c r="J22" i="1"/>
  <c r="J23" i="1"/>
  <c r="J24" i="1"/>
  <c r="J25" i="1"/>
  <c r="J29" i="1" l="1"/>
  <c r="J26" i="1"/>
  <c r="I69" i="4" l="1"/>
  <c r="I81" i="4" l="1"/>
  <c r="I82" i="4"/>
  <c r="I83" i="4"/>
  <c r="I84" i="4"/>
  <c r="I85" i="4"/>
  <c r="I86" i="4"/>
  <c r="I79" i="4"/>
  <c r="I52" i="4"/>
  <c r="I54" i="4"/>
  <c r="I56" i="4"/>
  <c r="I59" i="4"/>
  <c r="I62" i="4"/>
  <c r="I76" i="4" l="1"/>
  <c r="I78" i="4"/>
  <c r="I80" i="4"/>
  <c r="I60" i="4"/>
  <c r="I66" i="4"/>
  <c r="I53" i="4"/>
  <c r="I58" i="4"/>
  <c r="I70" i="4"/>
  <c r="I64" i="4"/>
  <c r="I67" i="4"/>
  <c r="I61" i="4"/>
  <c r="I63" i="4"/>
  <c r="I51" i="4"/>
  <c r="I65" i="4"/>
  <c r="I57" i="4"/>
  <c r="I55" i="4"/>
  <c r="I46" i="4"/>
  <c r="I37" i="4"/>
  <c r="E2" i="4"/>
  <c r="G2" i="4" s="1"/>
  <c r="I3" i="4"/>
  <c r="I68" i="4" l="1"/>
  <c r="I72" i="4" l="1"/>
  <c r="I87" i="4"/>
  <c r="I88" i="4"/>
  <c r="I77" i="4" l="1"/>
  <c r="I75" i="4"/>
  <c r="I74" i="4"/>
  <c r="I73" i="4"/>
  <c r="I44" i="4"/>
  <c r="I38" i="4"/>
  <c r="I42" i="4"/>
  <c r="I43" i="4"/>
  <c r="I71" i="4"/>
  <c r="I45" i="4" l="1"/>
  <c r="I41" i="4"/>
  <c r="I40" i="4"/>
  <c r="I39" i="4"/>
  <c r="I36" i="4"/>
  <c r="I35" i="4"/>
  <c r="I34" i="4"/>
  <c r="I33" i="4"/>
  <c r="I17" i="4" l="1"/>
  <c r="I18" i="4"/>
  <c r="I19" i="4"/>
  <c r="I20" i="4"/>
  <c r="I21" i="4"/>
  <c r="I22" i="4"/>
  <c r="I23" i="4"/>
  <c r="I24" i="4"/>
  <c r="I25" i="4"/>
  <c r="I26" i="4"/>
  <c r="I27" i="4"/>
  <c r="I28" i="4"/>
  <c r="I29" i="4"/>
  <c r="I30" i="4"/>
  <c r="I31" i="4"/>
  <c r="I32" i="4"/>
  <c r="I15" i="4" l="1"/>
  <c r="I16" i="4"/>
  <c r="J3" i="1" l="1"/>
  <c r="I7" i="4" l="1"/>
  <c r="I47" i="4" s="1"/>
  <c r="I8" i="4"/>
  <c r="I12" i="4"/>
  <c r="I14" i="4"/>
  <c r="I9" i="4"/>
  <c r="I10" i="4"/>
  <c r="I11" i="4"/>
  <c r="I13" i="4"/>
  <c r="I4" i="4"/>
  <c r="I2" i="4" l="1"/>
</calcChain>
</file>

<file path=xl/sharedStrings.xml><?xml version="1.0" encoding="utf-8"?>
<sst xmlns="http://schemas.openxmlformats.org/spreadsheetml/2006/main" count="875" uniqueCount="354">
  <si>
    <t>Зона</t>
  </si>
  <si>
    <t>Тип</t>
  </si>
  <si>
    <t>Площадь, м2</t>
  </si>
  <si>
    <t>Надстройки, м2</t>
  </si>
  <si>
    <t>Итого, м2</t>
  </si>
  <si>
    <t>Тип благоустройства</t>
  </si>
  <si>
    <t>Примечание</t>
  </si>
  <si>
    <t>Корпус</t>
  </si>
  <si>
    <t>газон</t>
  </si>
  <si>
    <t>Покрытие</t>
  </si>
  <si>
    <t>Толщ., м</t>
  </si>
  <si>
    <t>ср. план. отм.</t>
  </si>
  <si>
    <t>отм. низа</t>
  </si>
  <si>
    <t>текущ. отм.</t>
  </si>
  <si>
    <t>площадь</t>
  </si>
  <si>
    <t>объем</t>
  </si>
  <si>
    <t>Благоустройство за красными линиями</t>
  </si>
  <si>
    <t>средняя текущая</t>
  </si>
  <si>
    <t>средняя планировочная</t>
  </si>
  <si>
    <t xml:space="preserve"> - выемка, + насыпь</t>
  </si>
  <si>
    <t>тип 6</t>
  </si>
  <si>
    <t>тип 1</t>
  </si>
  <si>
    <t>тип 2</t>
  </si>
  <si>
    <t>тип 3</t>
  </si>
  <si>
    <t>тип 4</t>
  </si>
  <si>
    <t>тип 5</t>
  </si>
  <si>
    <t>тип 7</t>
  </si>
  <si>
    <t>тип 8</t>
  </si>
  <si>
    <t>набивные дорожки</t>
  </si>
  <si>
    <t>Тип покрытия</t>
  </si>
  <si>
    <t>Длина, м</t>
  </si>
  <si>
    <t>Высота, м</t>
  </si>
  <si>
    <t>Объем, м3</t>
  </si>
  <si>
    <t>а/б проезды</t>
  </si>
  <si>
    <t>а/б тротуары</t>
  </si>
  <si>
    <t>тип А</t>
  </si>
  <si>
    <t>а/б пандусы</t>
  </si>
  <si>
    <t>пож. Проезд</t>
  </si>
  <si>
    <t>дворы</t>
  </si>
  <si>
    <t>серый</t>
  </si>
  <si>
    <t>коричневый</t>
  </si>
  <si>
    <t>площадки отдыха, спорта</t>
  </si>
  <si>
    <t>резина</t>
  </si>
  <si>
    <t>пож. Проезд-тротуар</t>
  </si>
  <si>
    <t>асфальт</t>
  </si>
  <si>
    <t>отсев</t>
  </si>
  <si>
    <t>искуств. Камни</t>
  </si>
  <si>
    <t>тротуар, велопарковки</t>
  </si>
  <si>
    <t>тротуар-пож. Проезд</t>
  </si>
  <si>
    <t>отмостка</t>
  </si>
  <si>
    <t>БР 100.30.15</t>
  </si>
  <si>
    <t>БР 100.30.15 на пандусах</t>
  </si>
  <si>
    <t>БР 100.20.8</t>
  </si>
  <si>
    <t>БР 300.45.18</t>
  </si>
  <si>
    <t>БЛАГОУСТРОЙСТВО уч. 18</t>
  </si>
  <si>
    <t>БЛАГОУСТРОЙСТВО уч. 17</t>
  </si>
  <si>
    <t>сиреневый</t>
  </si>
  <si>
    <t>ворота</t>
  </si>
  <si>
    <t>ворота+калитка</t>
  </si>
  <si>
    <t>площадь под БР пандусов</t>
  </si>
  <si>
    <t>тип по АР</t>
  </si>
  <si>
    <t>а/б проезды (арка - пожарный проезд)</t>
  </si>
  <si>
    <t>а/б проезд</t>
  </si>
  <si>
    <t>а/б тротуар</t>
  </si>
  <si>
    <t>пандусы</t>
  </si>
  <si>
    <t>площадки с резиновым покрытием</t>
  </si>
  <si>
    <t>дорожки</t>
  </si>
  <si>
    <t>тротуар - пож. Проезд</t>
  </si>
  <si>
    <t>дорожки с набивным покрытием</t>
  </si>
  <si>
    <t>газон - пож. Проезд</t>
  </si>
  <si>
    <t>тротуар - плитка</t>
  </si>
  <si>
    <t>геопластика</t>
  </si>
  <si>
    <t>устройство геопластики</t>
  </si>
  <si>
    <t>4 шт</t>
  </si>
  <si>
    <t>холм - 1</t>
  </si>
  <si>
    <t>холм - 2</t>
  </si>
  <si>
    <t>холм - 3</t>
  </si>
  <si>
    <t>холм - 4</t>
  </si>
  <si>
    <t>газон (двор)</t>
  </si>
  <si>
    <t>отмостка (двор)</t>
  </si>
  <si>
    <t>ограждение газонное</t>
  </si>
  <si>
    <t>ограждение территории 1,8 м</t>
  </si>
  <si>
    <t>АР1. л. 109, узел 2</t>
  </si>
  <si>
    <t>корпус 1.1 (1.2) секции 5, 9
АР1. л. 102, разрез 4-4</t>
  </si>
  <si>
    <t>24 шт</t>
  </si>
  <si>
    <t>ДЕМОНТАЖ</t>
  </si>
  <si>
    <t>ограждение</t>
  </si>
  <si>
    <t>дороги</t>
  </si>
  <si>
    <t>площадки</t>
  </si>
  <si>
    <t>м2</t>
  </si>
  <si>
    <t>-заполняемые ячейки</t>
  </si>
  <si>
    <t>№ п/п</t>
  </si>
  <si>
    <t>Код</t>
  </si>
  <si>
    <t>Наименование</t>
  </si>
  <si>
    <t>Толщина слоя, м</t>
  </si>
  <si>
    <t>Ед. изм.</t>
  </si>
  <si>
    <t>Норма расхода на ед. изм.</t>
  </si>
  <si>
    <t>Кол-во</t>
  </si>
  <si>
    <t>Цена за единицу, руб. 
(в т.ч. НДС 20%)</t>
  </si>
  <si>
    <t>Общая стоимость, руб. 
(в т.ч. НДС 20%)</t>
  </si>
  <si>
    <t>Материалы</t>
  </si>
  <si>
    <t>СМР</t>
  </si>
  <si>
    <t>Итого</t>
  </si>
  <si>
    <t>Подготовительные и земляные работы</t>
  </si>
  <si>
    <t>Подготовительные работы</t>
  </si>
  <si>
    <t>1.1</t>
  </si>
  <si>
    <t>В 02.03.07</t>
  </si>
  <si>
    <t>1.2</t>
  </si>
  <si>
    <t>B 02.01.09</t>
  </si>
  <si>
    <t>м пог.</t>
  </si>
  <si>
    <t>В 10.01.01</t>
  </si>
  <si>
    <t>Земляные работы</t>
  </si>
  <si>
    <t>2.1</t>
  </si>
  <si>
    <t xml:space="preserve">Вертикальная планировка территории (устройство насыпи, выемки) под отметки благоустройства </t>
  </si>
  <si>
    <t>2.2</t>
  </si>
  <si>
    <t>м3</t>
  </si>
  <si>
    <t>В 10.01.02</t>
  </si>
  <si>
    <t>Устройство асф.-бетонных проездов, тип 1</t>
  </si>
  <si>
    <t>3.1</t>
  </si>
  <si>
    <t>Устройство верхнего слоя из асфальтобетона мелкозернистого плотного, тип А, марки II, ГОСТ 9128-2013</t>
  </si>
  <si>
    <t>3.1.1</t>
  </si>
  <si>
    <t>Смесь асфальтобетонная мелкозернистая плотная тип А марка II</t>
  </si>
  <si>
    <t>т</t>
  </si>
  <si>
    <t>3.2</t>
  </si>
  <si>
    <t>3.2.1</t>
  </si>
  <si>
    <t>Смесь асфальтобетонная крупнозернистая пористая марка II</t>
  </si>
  <si>
    <t>3.3</t>
  </si>
  <si>
    <t>3.3.1</t>
  </si>
  <si>
    <t>Щебень гранитный фр.40-70</t>
  </si>
  <si>
    <t>3.3.2</t>
  </si>
  <si>
    <t>3.4</t>
  </si>
  <si>
    <t>3.4.1</t>
  </si>
  <si>
    <t>Песок строительный среднезернистый</t>
  </si>
  <si>
    <t>3.5</t>
  </si>
  <si>
    <t>Укладка геотекстиля иглопробивного плотностью 100 г/м2, с учетом примыканий</t>
  </si>
  <si>
    <t>3.5.1</t>
  </si>
  <si>
    <t>В 10.01.04</t>
  </si>
  <si>
    <t>4.1</t>
  </si>
  <si>
    <t>4.2</t>
  </si>
  <si>
    <t xml:space="preserve">Устройство основания из щебеночно-гравийно-песчаной смеси С4 по ГОСТ 25607-2009 с трамбовкой </t>
  </si>
  <si>
    <t>4.2.1</t>
  </si>
  <si>
    <t>Смесь щебеночно-песчаная фр.0-80</t>
  </si>
  <si>
    <t>4.3</t>
  </si>
  <si>
    <t>4.3.1</t>
  </si>
  <si>
    <t>4.4</t>
  </si>
  <si>
    <t>4.4.1</t>
  </si>
  <si>
    <t>Геотекстиль иглопробивной 100 г/м2</t>
  </si>
  <si>
    <t>5.1</t>
  </si>
  <si>
    <t>5.2</t>
  </si>
  <si>
    <t>5.2.1</t>
  </si>
  <si>
    <t>5.3</t>
  </si>
  <si>
    <t>5.3.1</t>
  </si>
  <si>
    <t>5.4</t>
  </si>
  <si>
    <t>5.4.1</t>
  </si>
  <si>
    <t>В 10.01.03</t>
  </si>
  <si>
    <t>6.1</t>
  </si>
  <si>
    <t>Устройство верхнего слоя из асфальтобетона песчаного плотного, тип Г, марки II, по ГОСТ 9128-2013 с огрунтовкой поверхности</t>
  </si>
  <si>
    <t xml:space="preserve">Смесь асфальтобенонная песчаная плотная тип Г марка II </t>
  </si>
  <si>
    <t>6.2</t>
  </si>
  <si>
    <t>6.2.1</t>
  </si>
  <si>
    <t>6.3</t>
  </si>
  <si>
    <t>6.3.1</t>
  </si>
  <si>
    <t>6.4</t>
  </si>
  <si>
    <t>6.4.1</t>
  </si>
  <si>
    <t>7.1</t>
  </si>
  <si>
    <t>7.2</t>
  </si>
  <si>
    <t>7.2.1</t>
  </si>
  <si>
    <t>7.3</t>
  </si>
  <si>
    <t>7.3.1</t>
  </si>
  <si>
    <t>7.4</t>
  </si>
  <si>
    <t>7.4.1</t>
  </si>
  <si>
    <t>В 10.01.08</t>
  </si>
  <si>
    <t>8.1</t>
  </si>
  <si>
    <t>8.2</t>
  </si>
  <si>
    <t>8.2.1</t>
  </si>
  <si>
    <t>8.3</t>
  </si>
  <si>
    <t>8.3.1</t>
  </si>
  <si>
    <t>8.4</t>
  </si>
  <si>
    <t>8.4.1</t>
  </si>
  <si>
    <t>9.1</t>
  </si>
  <si>
    <t>9.2</t>
  </si>
  <si>
    <t>9.2.1</t>
  </si>
  <si>
    <t>9.3</t>
  </si>
  <si>
    <t>9.3.1</t>
  </si>
  <si>
    <t>9.4</t>
  </si>
  <si>
    <t>9.4.1</t>
  </si>
  <si>
    <t>10.1</t>
  </si>
  <si>
    <t>10.2</t>
  </si>
  <si>
    <t>10.2.1</t>
  </si>
  <si>
    <t>В 10.01.06</t>
  </si>
  <si>
    <t>11.1</t>
  </si>
  <si>
    <t>Устройство верхнего слоя из отсева гранитного М1000-1200 фр. 3-5 мм с трамбовкой толщ. 50 мм</t>
  </si>
  <si>
    <t>Отсев гранитный</t>
  </si>
  <si>
    <t>11.2</t>
  </si>
  <si>
    <t>11.2.1</t>
  </si>
  <si>
    <t>11.3</t>
  </si>
  <si>
    <t>11.4</t>
  </si>
  <si>
    <t>В 10.01.07</t>
  </si>
  <si>
    <t>12.1</t>
  </si>
  <si>
    <t>Устройство верхнего резинового покрытия</t>
  </si>
  <si>
    <t>выполняет подрядчик по монтажу МАФ</t>
  </si>
  <si>
    <t>В 10.02.02</t>
  </si>
  <si>
    <t>Устройство газона с внесением растительного грунта h=0,15 м и посевом семян газонных трав, с учетом ухода</t>
  </si>
  <si>
    <t>В 10.02.01</t>
  </si>
  <si>
    <t>Устройство газонов</t>
  </si>
  <si>
    <t>14.1</t>
  </si>
  <si>
    <t>В 10.01.09</t>
  </si>
  <si>
    <t>Устройство бортовых камней</t>
  </si>
  <si>
    <t>15.1</t>
  </si>
  <si>
    <t>м.п.</t>
  </si>
  <si>
    <t>С учетом мест пониженния бортового камня</t>
  </si>
  <si>
    <t>В 10.04.99</t>
  </si>
  <si>
    <t>16.1</t>
  </si>
  <si>
    <t>Комплекс работ по устройству дренажной сети</t>
  </si>
  <si>
    <t>Устройство ограждений</t>
  </si>
  <si>
    <t>17.1</t>
  </si>
  <si>
    <t>В 10.04.03</t>
  </si>
  <si>
    <t>шт</t>
  </si>
  <si>
    <t>В всоответствии с согласованным эскизом ООО "Сэтл Строй"
Вид и размеры ограждения дополнительно согласовать с Генподрядчиком до начала работ</t>
  </si>
  <si>
    <t>В 10.04.04</t>
  </si>
  <si>
    <t>B 10.04.99</t>
  </si>
  <si>
    <t>Устройство мусороконтейнерных площадок</t>
  </si>
  <si>
    <t>Устройство мусороконтейнерных площадок с навесом</t>
  </si>
  <si>
    <t>Уличная навигация</t>
  </si>
  <si>
    <t>Монтаж фундаментов 700х700х300(h) под информационные знаки уличной навигации  в соответствии со схемой расстановки (в т.ч. земляные работы, устройство основания и в случае необходимости восстановление благоустройства)</t>
  </si>
  <si>
    <t xml:space="preserve">Изготовление и поставку фундаментов выполняет Подрядчик по монтажу знаков </t>
  </si>
  <si>
    <t>10.3</t>
  </si>
  <si>
    <t>10.3.1</t>
  </si>
  <si>
    <t>Всего затрат на выполнение полного комплекса работ:</t>
  </si>
  <si>
    <t xml:space="preserve">Срок производства работ: ____________ календарных дней (указать), Начало и окончание работ: ____________ (указать)
</t>
  </si>
  <si>
    <t>Численность ИТР и рабочих, необходимых для производства работ:  ИТР - ______ чел. (указать), рабочие - ______ чел. (указать)</t>
  </si>
  <si>
    <t xml:space="preserve">ПРИМЕЧАНИЕ: </t>
  </si>
  <si>
    <t>Расчетом стоимости учтены все условия и требования, перечисленные в приглашении к тендеру, необходимые для выполнения полного комплекса работ "под ключ", сопутствующие работы, затраты и материалы, связанные с выполнением основных видов работ.</t>
  </si>
  <si>
    <t>Расчетом учтены все условия и требования, необходимые для выполнения полного комплекса работ "под ключ", в том числе, но не ограничиваясь:</t>
  </si>
  <si>
    <t>В Расчет стоимости не включать следующие затраты, а именно:
- поставка и монтаж оборудования для подключения к существующим сетям СКУД и ЭС</t>
  </si>
  <si>
    <t>Возможные допущенные 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Проектной документацией.</t>
  </si>
  <si>
    <t>С особыми условиями, указанными в письме-приглашении на участие в тендере, согласны.</t>
  </si>
  <si>
    <t>С текстом договора подряда ознакомлены и согласны заключить договор на условиях, предложенных Подрядчиком на тендере.</t>
  </si>
  <si>
    <t>Объект посетили, с ситуацией на объекте ознакомлены.</t>
  </si>
  <si>
    <t>Работы выполнять в соответствии с рабочей документацией, руководствоваться техническими требованиями Заказчика (ЧТУ), действующими правовыми и техническими нормами (СНиП, СП, ГОСТ, СанПиН, ФЗ, РД и прочими нормативными документами).</t>
  </si>
  <si>
    <t>Устройство нижнего слоя из асфальтобетона крупнозернистого пористого, тип А,  марки II, ГОСТ 9128-2013</t>
  </si>
  <si>
    <t>Щебень гранитный фр.5-10</t>
  </si>
  <si>
    <t>4.1.1</t>
  </si>
  <si>
    <t>Устройство покрытия из бетонной тротуарной плитки, толщ. 60 мм, по основанию из сухой цементно-песчаной смеси 1:10 толщ. 50 мм</t>
  </si>
  <si>
    <t>Подготовка основания из щебня гранитного М1000-1200 фр. 40-70 мм с трамбовкой и расклинцовкой, ГОСТ 8267-2009</t>
  </si>
  <si>
    <t>Устройство покрытия из бетонной тротуарной плитки, толщ. 80 мм, по основанию из сухой цементно-песчаной смеси 1:10 толщ. 50 мм</t>
  </si>
  <si>
    <t xml:space="preserve">Подготовка основания из песка средней крупности по ГОСТ 8736-2014, класс II, К ф&gt;2 м/сут с трамбовкой </t>
  </si>
  <si>
    <t xml:space="preserve">Подготовка основания из песка средней крупности по ГОСТ 8736-2014, класс II, Кф&gt;3 м/сут с трамбовкой </t>
  </si>
  <si>
    <t>Подготовка основания из песка средней крупности по ГОСТ 8736-2014, класс II, Кф≥3 м/сут с трамбовкой</t>
  </si>
  <si>
    <t>2.3</t>
  </si>
  <si>
    <t>2.3.1</t>
  </si>
  <si>
    <t xml:space="preserve">Устройство системы водоотведения </t>
  </si>
  <si>
    <t>1.3</t>
  </si>
  <si>
    <t>Демонтаж временных дорог и площадок складирования из ж/б плит с перемещением на расстояние до 1 км.</t>
  </si>
  <si>
    <t>Демонтаж ограждения строительной площадки из ж/б плит (h=2,5 м) с перемещением на расстояние  до 1 км.</t>
  </si>
  <si>
    <t>В 02.01.11</t>
  </si>
  <si>
    <t>комплекс</t>
  </si>
  <si>
    <t>B 02.02.99</t>
  </si>
  <si>
    <t>1.4</t>
  </si>
  <si>
    <t>Демонтаж поста охраны, с погрузкой, перемещением на расстояние до 1 км</t>
  </si>
  <si>
    <t>Демонтаж въездных ворот с погрузкой, перемещением на расстояние до 1 км</t>
  </si>
  <si>
    <t>13.1</t>
  </si>
  <si>
    <r>
      <t xml:space="preserve">Нормы расхода материалов являются фиксированными и изменению не подлежат. Расход материала сверх норм, заложенных в расчете, необходимо учесть в стоимости СМР. </t>
    </r>
    <r>
      <rPr>
        <b/>
        <sz val="14"/>
        <rFont val="Times New Roman"/>
        <family val="1"/>
        <charset val="204"/>
      </rPr>
      <t>Объемы дорожных и благоустроительных работ определены по горизонтальной проекции площади полотна (расход материалов на устройство откосов, примыканий и т.п. необходимо учесть в стоимости комплекса работ).</t>
    </r>
  </si>
  <si>
    <t>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 (указать нужное).</t>
  </si>
  <si>
    <t>Стоимость материалов учитывает только стоимость основных материалов, с учетом норм расхода, кратности поставки, доставки, разгрузки и перемещения на объекте. Стоимость остальных, прочих и расходных материалов учесть в стоимости СМР.
ООО «Сэтл Строй» вправе указать Подрядчику поставщика материалов и оборудования (для обеспечения строительства полностью или частично), либо являться Поставщиком. В таком случае Подрядчик обязан заключить договор на поставку материалов с Поставщиком, указанным ООО «Сэтл Строй».</t>
  </si>
  <si>
    <t>- участие в сдаче результата выполненных работ по комплексному благоустройству заинтересованным организациям и в случае появления замечаний устранение их за свой счёт;
- уход (полив при необходимости и необходимое количество покосов травяного покрова) зеленых насаждений в течении аграрного периода по согласованию с Подрядчиком (к моменту сдачи объекта на газоне должен быть ровный травяной покров без проплешин и размывов);
- комплекс мероприятий по обеспечению для МГН условий беспрепятственного, безопасного и удобного доступа и передвижения по участку (понижения и уклоны покрытий, тактильные средства (плитка и т.д.), антискользящие покрытия, предупреждающие знаки и т.п.).
- обеспечение изготовления подлежащих монтажу конструкций в соответствии с проведенными замерами, учитывающими места крепления приводов, вызывных панелей СКУД, доводчиков.</t>
  </si>
  <si>
    <t>камень бортовой железобетонный БР 100.30.15</t>
  </si>
  <si>
    <t>камень бортовой железобетонный БР 100.20.8</t>
  </si>
  <si>
    <t>11.4.1</t>
  </si>
  <si>
    <t>Наименование организации: ________________________</t>
  </si>
  <si>
    <t>ИНН _______________________________________</t>
  </si>
  <si>
    <t>Дата подачи коммерческого предложения: "____ " __________ 2024г.</t>
  </si>
  <si>
    <t>камень бортовой железобетонный БР 100.45.18</t>
  </si>
  <si>
    <t>Погрузка и вывоз грунта на лицензированный полигон (в твердом теле), с предоставлением актов на утилизацию</t>
  </si>
  <si>
    <r>
      <t>выполнения полного комплекса работ по благоустройству территории</t>
    </r>
    <r>
      <rPr>
        <sz val="17"/>
        <rFont val="Times New Roman"/>
        <family val="1"/>
        <charset val="204"/>
      </rPr>
      <t xml:space="preserve"> </t>
    </r>
    <r>
      <rPr>
        <b/>
        <sz val="17"/>
        <rFont val="Times New Roman"/>
        <family val="1"/>
        <charset val="204"/>
      </rPr>
      <t>(без озеленения и МАФ)</t>
    </r>
  </si>
  <si>
    <t>Устройство площадок и дорожек с набивным покрытием, тип 7</t>
  </si>
  <si>
    <t>11.1.1</t>
  </si>
  <si>
    <t>11.3.1</t>
  </si>
  <si>
    <t>12.2</t>
  </si>
  <si>
    <t>12.2.1</t>
  </si>
  <si>
    <t>12.3</t>
  </si>
  <si>
    <t>12.3.1</t>
  </si>
  <si>
    <t>12.4</t>
  </si>
  <si>
    <t>12.5</t>
  </si>
  <si>
    <t>12.5.1</t>
  </si>
  <si>
    <t>18.1</t>
  </si>
  <si>
    <t>12.3.2</t>
  </si>
  <si>
    <t>Изготовление и монтаж ограждения территории h=1,8 м, с порошковой окраской, в т.ч. устройство оснований и фундаментов (без ворот и калиток)</t>
  </si>
  <si>
    <t>Изготовление и монтаж распашных ворот, с порошковой окраской, в т.ч. устройство оснований и фундаментов</t>
  </si>
  <si>
    <t>Изготовление и монтаж калиток, с порошковой окраской, в т.ч. устройство оснований и фундаментов</t>
  </si>
  <si>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Заказчику/Генподрядчику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Подрядчиком, 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Заказчиком/Генподрядчиком; подготовка и передача Заказчику/Генподрядчику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Заказчику/Генподрядчику/Подрядчикам,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Подрядчика.</t>
  </si>
  <si>
    <t xml:space="preserve">Подготовка основания из песка средней крупности по ГОСТ 8736-2014, класс II, Кф&gt;2 м/сут с трамбовкой </t>
  </si>
  <si>
    <t>Устройство тротуаров, велопарковок из асфальтобетона, тип 2</t>
  </si>
  <si>
    <t>Устройство газонов на укрепленном основании для проезда спец. техники (пожарного проезда), тип 3</t>
  </si>
  <si>
    <t>Подготовка основания из песка средней крупности по ГОСТ 8736-2014, класс II, Кф&gt;2 м/сут с трамбовкой</t>
  </si>
  <si>
    <t>Устройство тротуаров из тротуарной плитки, тип 4</t>
  </si>
  <si>
    <t>Устройство спортивных площадок с резиновым покрытием, тип 5</t>
  </si>
  <si>
    <t>Устройство тротуаров из тротуарной плитки для проезда спец. техники (пожарного проезда), тип 6</t>
  </si>
  <si>
    <t>Устройство верхнего слоя из отсева гранитного М1000-1200 фр. 3-5 мм пропитанный полиуретановым связующим (Гравиком)</t>
  </si>
  <si>
    <t>Подготовка основания из песка средней крупности по ГОСТ 8736-2014, класс II, К ф&gt;2 м/сут с трамбовкой</t>
  </si>
  <si>
    <t>Устройство пошаговой дорожки, тип 8</t>
  </si>
  <si>
    <t>Устройство покрытия из тротуарной плитки размером 900х300х100мм ("Мегаполис PRO") для пошагового мощения</t>
  </si>
  <si>
    <t>Устройство площадок и дорожек с набивным покрытием, тип 9</t>
  </si>
  <si>
    <t>Установка бортового камня БР 100.30.15 на бетонном основании В15</t>
  </si>
  <si>
    <t>Установка бортового камня БР 100.20.8 на бетонном основании В15</t>
  </si>
  <si>
    <t>в соответствии с РД 166/08-11/22-КМ; 
в т.ч. устройство оснований и фундаментов</t>
  </si>
  <si>
    <t>Изготовление и монтаж газонного ограждения h=0,4 м, с порошковой окраской, в т.ч. устройство оснований и фундаментов</t>
  </si>
  <si>
    <t>на объекте: Малоэтажный многоквартирный жилой  (корпус 8)
по адресу: г. Санкт-Петербург, поселок Шушары, шоссе Колпинское (Детскосельский),  кадастровый  номер земельного участка 78:42:0018305:1527</t>
  </si>
  <si>
    <t>Основание: РД шифр шифр 166/08-11/22-ГП,  утвержденная "в произв-во работ"</t>
  </si>
  <si>
    <t>КОРПУС 8</t>
  </si>
  <si>
    <t>5.3.2</t>
  </si>
  <si>
    <t>5.5</t>
  </si>
  <si>
    <t>5.5.1</t>
  </si>
  <si>
    <t>7.5</t>
  </si>
  <si>
    <t>7.5.1</t>
  </si>
  <si>
    <t>8.2.2</t>
  </si>
  <si>
    <t>9.1.1</t>
  </si>
  <si>
    <t>10</t>
  </si>
  <si>
    <t>12.1.1</t>
  </si>
  <si>
    <t>14.1.1</t>
  </si>
  <si>
    <t>14.2</t>
  </si>
  <si>
    <t>14.2.1</t>
  </si>
  <si>
    <t>14.3</t>
  </si>
  <si>
    <t>14.3.1</t>
  </si>
  <si>
    <t>16.2</t>
  </si>
  <si>
    <t>16.3</t>
  </si>
  <si>
    <t>16.4</t>
  </si>
  <si>
    <t>марку плитки согласовать с Генподрядчиком</t>
  </si>
  <si>
    <t>шифр 1070.1-2023-НК.2</t>
  </si>
  <si>
    <t>шифр 1073.3-2023-НК.2, утвержденный "в произв-во работ"</t>
  </si>
  <si>
    <t>Устройство верхнего слоя из отсева гранитного М1000-1200 фр. 3-5 мм  с трамбовкой толщ. 50 мм</t>
  </si>
  <si>
    <t xml:space="preserve">Устройство верхнего слоя из гравия фр. 5-10 мм  с трамбовкой толщ. </t>
  </si>
  <si>
    <t>гравий фр.5-10мм</t>
  </si>
  <si>
    <t>Подготовка основания из щебня гранитного М1000-1200 фр. 40-20 мм с трамбовкой и расклинцовкой, ГОСТ 8267-2009</t>
  </si>
  <si>
    <t>Щебень гранитный фр.20-40</t>
  </si>
  <si>
    <t>Укладка слоя из профилированной мембраны, с учетом примыканий</t>
  </si>
  <si>
    <t>Профилированная мембрана Planter -geo</t>
  </si>
  <si>
    <t>12.41</t>
  </si>
  <si>
    <t>12.6</t>
  </si>
  <si>
    <t>12.6.1</t>
  </si>
  <si>
    <t xml:space="preserve">Устройство отмостки </t>
  </si>
  <si>
    <t>в соотв. с альбомом типовых решений</t>
  </si>
  <si>
    <t>Благоустройство территории</t>
  </si>
  <si>
    <t>Демонтаж ограждения строительной площадки из профлиста с перемещением на расстояние  до 1 км.</t>
  </si>
  <si>
    <t>1.5</t>
  </si>
  <si>
    <r>
      <rPr>
        <sz val="12"/>
        <rFont val="Times New Roman"/>
        <family val="1"/>
        <charset val="204"/>
      </rPr>
      <t>- выполнение всего комплекса работ, указанных в рабочей документации, и сопутствующие работы требуемые для ввода объекта в эксплуатацию и последующей передачи Заказчику (Службе Клиентского Сервиса) и эксплуатирующей компании,
- организация строительного производства в соответствии со СНиП 12-03-2001 "Безопасность труда в строительстве";
- планировка (в т.ч. выемка, насыпь, погрузка, перемещение) и уплотнение грунта под основание конструкций дорожных одежд;</t>
    </r>
    <r>
      <rPr>
        <b/>
        <sz val="12"/>
        <rFont val="Times New Roman"/>
        <family val="1"/>
        <charset val="204"/>
      </rPr>
      <t xml:space="preserve">
- образователем ТКО, строительных отходов и грунта, образовавшихся при производстве работ, а также лицом, обязанным вносить плату за негативное воздействие на окружающую среду, согласно ст. 16.1 ФЗ от 10.01.2002 №7-ФЗ (ред. от 29.07.2017) "Об охране окружающей среды", является Подрядчик. Ответственность за соблюдение природоохранного законодательства РФ возлагается на Подрядчика;
- погрузка, вывоз, утилизация грунта на лицензированные полигоны, внесенные в ГРОРО, либо на объекты рекультивации, имеющие положительное заключение Государственной экологической экспертизы, либо на объекты, имеющие лицензию на право обращения с отходами грунта  (в соответствии с приложением "Перечень объектов, осуществляющих прием отходов грунта");
- погрузка и вывоз отходов на лицензированные полигоны, внесенные в ГРОРО; или на объекты, имеющие лицензию на право обращения с отходами; или в адрес специализированных предприятий по переработке вторсырья;
- подготовка и передача Генподрядчику полного комплекта природоохранной документации по обращению с отходами (копии): акты сдачи-приемки отходов; транспортные накладные, паспорта на отходы, материалы отнесения отходов к I-V классу опасности (протоколы лабораторных исследований), журнал учета образования отходов по приказу № 1028; стат.отчетность по форме 2-ТП (отходы), Декларация по плате за НВОС;
- устройство разметки проездов, площадок, парковок, дорожных знаков;</t>
    </r>
    <r>
      <rPr>
        <sz val="12"/>
        <rFont val="Times New Roman"/>
        <family val="1"/>
        <charset val="204"/>
      </rPr>
      <t xml:space="preserve">
- затраты на регулировку крышек люков инженерных коммуникаций, для их выведения в проектные отметки;
- устройство зон пониженного бортового камня в соответствии с проектом;
- обеспечение соответствия нормативным требованиям по доступности маломобильных групп населения;
- устройство узлов примыканий конструкций тротуаров к наружным лестницам, к стенам, бордюрного камня к тротуару и проезду, водосборного лотка к ливневому колодцу;
- выборка, погрузка и вывоз остаточных инженерных сетей и ж/б элементов, находящихся в толще грунтов в зоне производства работ;
- проведение всех необходимых мероприятий по водопонижению на период производства работ, в т.ч. устройство зумпфов для водоотведения (при необходимости);
- шурфовка мест пересечек и подвешивание коммуникаций в случае пересечек с существующими коммуникациями;
- восстановление поврежденных коммуникаций в случае возникновения аварийной ситуации;
- мероприятия по сохранности инженерных сетей и строительных конструкций в зоне производства работ;</t>
    </r>
    <r>
      <rPr>
        <b/>
        <sz val="12"/>
        <rFont val="Times New Roman"/>
        <family val="1"/>
        <charset val="204"/>
      </rPr>
      <t xml:space="preserve">                                    
</t>
    </r>
    <r>
      <rPr>
        <sz val="12"/>
        <rFont val="Times New Roman"/>
        <family val="1"/>
        <charset val="204"/>
      </rPr>
      <t>- получение и оплата всех необходимых разрешений, согласований, испытаний, необходимых для производства работ и сдачи в эксплуатацию (в т.ч. получение ордера ГАТИ, Акта УСПХ и порубочного билета на снос зеленых насаждений);</t>
    </r>
    <r>
      <rPr>
        <sz val="12"/>
        <color rgb="FFFF0000"/>
        <rFont val="Times New Roman"/>
        <family val="1"/>
        <charset val="204"/>
      </rPr>
      <t xml:space="preserve">
</t>
    </r>
    <r>
      <rPr>
        <b/>
        <sz val="12"/>
        <color rgb="FFFF0000"/>
        <rFont val="Times New Roman"/>
        <family val="1"/>
        <charset val="204"/>
      </rPr>
      <t>- выполнение комплекса работ по гидроизоляции, тампонажу, герметизации стыков кабельных колодцев и кабельных вводов (при необходимости);</t>
    </r>
    <r>
      <rPr>
        <sz val="12"/>
        <color rgb="FFFF0000"/>
        <rFont val="Times New Roman"/>
        <family val="1"/>
        <charset val="204"/>
      </rPr>
      <t xml:space="preserve">
</t>
    </r>
  </si>
  <si>
    <t>Добавлено Примечание по СЗ Четвергова А.</t>
  </si>
  <si>
    <t xml:space="preserve">замещение грунта для устройства тротуаров в плиточном покрытии в зоне входных групп Тип 4
(не отражено в РД) </t>
  </si>
  <si>
    <t>КбртГП2 заменен на БР30.15</t>
  </si>
  <si>
    <r>
      <t xml:space="preserve">РАСЧЕТ СТОИМОСТИ </t>
    </r>
    <r>
      <rPr>
        <b/>
        <sz val="17"/>
        <color rgb="FFFF0000"/>
        <rFont val="Times New Roman"/>
        <family val="1"/>
        <charset val="204"/>
      </rPr>
      <t>изм 2</t>
    </r>
  </si>
  <si>
    <t>Установка бортового камня БР 300.45.18 на бетонном основании В15</t>
  </si>
  <si>
    <t>Устройство газонов учтено в отдельном ТЗ на озеленение</t>
  </si>
  <si>
    <t>Устройство газона с внесением слоя растительного грунта толщ. 150 мм и укладка геотекстиля будут учтены в отдельном ТЗ на озеленение</t>
  </si>
  <si>
    <t>В расчете стоимости учтены генподрядные услуги в размере 1,5% от общей стоимости выполняемых Подрядчиком работ.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</si>
</sst>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р_._-;\-* #,##0.00_р_._-;_-* &quot;-&quot;??_р_._-;_-@_-"/>
    <numFmt numFmtId="165" formatCode="_-* #,##0.00&quot;р.&quot;_-;\-* #,##0.00&quot;р.&quot;_-;_-* &quot;-&quot;??&quot;р.&quot;_-;_-@_-"/>
    <numFmt numFmtId="166" formatCode="#,##0.000"/>
  </numFmts>
  <fonts count="75" x14ac:knownFonts="1">
    <font>
      <sz val="11"/>
      <color theme="1"/>
      <name val="Calibri"/>
      <family val="2"/>
      <scheme val="minor"/>
    </font>
    <font>
      <sz val="11"/>
      <color theme="1"/>
      <name val="Calibri"/>
      <family val="2"/>
      <charset val="204"/>
      <scheme val="minor"/>
    </font>
    <font>
      <sz val="12"/>
      <color theme="1"/>
      <name val="Times New Roman"/>
      <family val="1"/>
      <charset val="204"/>
    </font>
    <font>
      <sz val="10"/>
      <color theme="1"/>
      <name val="Times New Roman"/>
      <family val="1"/>
      <charset val="204"/>
    </font>
    <font>
      <sz val="12"/>
      <color rgb="FFFF0000"/>
      <name val="Times New Roman"/>
      <family val="1"/>
      <charset val="204"/>
    </font>
    <font>
      <b/>
      <sz val="12"/>
      <color theme="1"/>
      <name val="Times New Roman"/>
      <family val="1"/>
      <charset val="204"/>
    </font>
    <font>
      <sz val="12"/>
      <name val="Times New Roman"/>
      <family val="1"/>
      <charset val="204"/>
    </font>
    <font>
      <sz val="11"/>
      <color theme="1"/>
      <name val="Times New Roman"/>
      <family val="1"/>
      <charset val="204"/>
    </font>
    <font>
      <i/>
      <sz val="11"/>
      <color theme="1"/>
      <name val="Times New Roman"/>
      <family val="1"/>
      <charset val="204"/>
    </font>
    <font>
      <sz val="12"/>
      <color theme="1"/>
      <name val="Times New Roman"/>
      <family val="1"/>
      <charset val="204"/>
    </font>
    <font>
      <sz val="10"/>
      <name val="Times New Roman"/>
      <family val="1"/>
      <charset val="204"/>
    </font>
    <font>
      <sz val="11"/>
      <name val="Times New Roman"/>
      <family val="1"/>
      <charset val="204"/>
    </font>
    <font>
      <b/>
      <sz val="11"/>
      <color rgb="FFFF0000"/>
      <name val="Times New Roman"/>
      <family val="1"/>
      <charset val="204"/>
    </font>
    <font>
      <sz val="12"/>
      <color theme="1"/>
      <name val="Times New Roman"/>
      <family val="1"/>
      <charset val="204"/>
    </font>
    <font>
      <b/>
      <sz val="14"/>
      <color theme="1"/>
      <name val="Times New Roman"/>
      <family val="1"/>
      <charset val="204"/>
    </font>
    <font>
      <b/>
      <sz val="11"/>
      <color theme="1"/>
      <name val="Times New Roman"/>
      <family val="1"/>
      <charset val="204"/>
    </font>
    <font>
      <b/>
      <sz val="14"/>
      <name val="Times New Roman"/>
      <family val="1"/>
      <charset val="204"/>
    </font>
    <font>
      <sz val="11"/>
      <color rgb="FFFF0000"/>
      <name val="Times New Roman"/>
      <family val="1"/>
      <charset val="204"/>
    </font>
    <font>
      <sz val="10"/>
      <name val="Arial Cyr"/>
      <charset val="204"/>
    </font>
    <font>
      <b/>
      <sz val="12"/>
      <color rgb="FFFF0000"/>
      <name val="Times New Roman"/>
      <family val="1"/>
      <charset val="204"/>
    </font>
    <font>
      <b/>
      <sz val="14"/>
      <color rgb="FFFF0000"/>
      <name val="Times New Roman"/>
      <family val="1"/>
      <charset val="204"/>
    </font>
    <font>
      <sz val="10"/>
      <name val="Arial"/>
      <family val="2"/>
      <charset val="204"/>
    </font>
    <font>
      <sz val="10"/>
      <color rgb="FFFF0000"/>
      <name val="Times New Roman"/>
      <family val="1"/>
      <charset val="204"/>
    </font>
    <font>
      <b/>
      <sz val="11"/>
      <color rgb="FFFF0000"/>
      <name val="Arial"/>
      <family val="2"/>
      <charset val="204"/>
    </font>
    <font>
      <sz val="11"/>
      <color rgb="FFFF0000"/>
      <name val="Arial"/>
      <family val="2"/>
      <charset val="204"/>
    </font>
    <font>
      <sz val="13"/>
      <color rgb="FFFF0000"/>
      <name val="Times New Roman"/>
      <family val="1"/>
      <charset val="204"/>
    </font>
    <font>
      <b/>
      <sz val="13"/>
      <color rgb="FFFF0000"/>
      <name val="Times New Roman"/>
      <family val="1"/>
      <charset val="204"/>
    </font>
    <font>
      <b/>
      <sz val="13"/>
      <color rgb="FFFF0000"/>
      <name val="Arial Cyr"/>
      <charset val="204"/>
    </font>
    <font>
      <sz val="13"/>
      <color rgb="FFFF0000"/>
      <name val="Arial Cyr"/>
      <charset val="204"/>
    </font>
    <font>
      <b/>
      <sz val="10"/>
      <color rgb="FFFF0000"/>
      <name val="Times New Roman"/>
      <family val="1"/>
      <charset val="204"/>
    </font>
    <font>
      <b/>
      <sz val="10"/>
      <color rgb="FFFF0000"/>
      <name val="Arial Cyr"/>
      <charset val="204"/>
    </font>
    <font>
      <sz val="10"/>
      <color rgb="FFFF0000"/>
      <name val="Arial Cyr"/>
      <charset val="204"/>
    </font>
    <font>
      <sz val="9"/>
      <color rgb="FFFF0000"/>
      <name val="Times New Roman"/>
      <family val="1"/>
      <charset val="204"/>
    </font>
    <font>
      <sz val="12"/>
      <color rgb="FFFF0000"/>
      <name val="Arial Cyr"/>
      <charset val="204"/>
    </font>
    <font>
      <b/>
      <sz val="18"/>
      <color rgb="FFFF0000"/>
      <name val="Times New Roman"/>
      <family val="1"/>
      <charset val="204"/>
    </font>
    <font>
      <sz val="18"/>
      <color rgb="FFFF0000"/>
      <name val="Times New Roman"/>
      <family val="1"/>
      <charset val="204"/>
    </font>
    <font>
      <i/>
      <sz val="12"/>
      <color rgb="FFFF0000"/>
      <name val="Times New Roman"/>
      <family val="1"/>
      <charset val="204"/>
    </font>
    <font>
      <b/>
      <i/>
      <sz val="11"/>
      <color rgb="FFFF0000"/>
      <name val="Times New Roman"/>
      <family val="1"/>
      <charset val="204"/>
    </font>
    <font>
      <i/>
      <sz val="11"/>
      <color rgb="FFFF0000"/>
      <name val="Times New Roman"/>
      <family val="1"/>
      <charset val="204"/>
    </font>
    <font>
      <sz val="14"/>
      <color rgb="FFFF0000"/>
      <name val="Times New Roman"/>
      <family val="1"/>
      <charset val="204"/>
    </font>
    <font>
      <sz val="10.5"/>
      <color rgb="FFFF0000"/>
      <name val="Times New Roman"/>
      <family val="1"/>
      <charset val="204"/>
    </font>
    <font>
      <b/>
      <sz val="12"/>
      <name val="Times New Roman"/>
      <family val="1"/>
      <charset val="204"/>
    </font>
    <font>
      <i/>
      <sz val="12"/>
      <name val="Times New Roman"/>
      <family val="1"/>
      <charset val="204"/>
    </font>
    <font>
      <i/>
      <sz val="12"/>
      <color theme="1"/>
      <name val="Times New Roman"/>
      <family val="1"/>
      <charset val="204"/>
    </font>
    <font>
      <b/>
      <sz val="17"/>
      <name val="Times New Roman"/>
      <family val="1"/>
      <charset val="204"/>
    </font>
    <font>
      <sz val="17"/>
      <name val="Times New Roman"/>
      <family val="1"/>
      <charset val="204"/>
    </font>
    <font>
      <sz val="11"/>
      <color theme="1"/>
      <name val="Calibri"/>
      <family val="2"/>
      <scheme val="minor"/>
    </font>
    <font>
      <b/>
      <sz val="11"/>
      <name val="Times New Roman"/>
      <family val="1"/>
      <charset val="204"/>
    </font>
    <font>
      <sz val="14"/>
      <name val="Times New Roman"/>
      <family val="1"/>
      <charset val="204"/>
    </font>
    <font>
      <sz val="13"/>
      <name val="Times New Roman"/>
      <family val="1"/>
      <charset val="204"/>
    </font>
    <font>
      <sz val="10"/>
      <name val="Times New Roman"/>
      <family val="1"/>
      <charset val="204"/>
    </font>
    <font>
      <sz val="12"/>
      <name val="Arial Cyr"/>
      <charset val="204"/>
    </font>
    <font>
      <sz val="11"/>
      <name val="Arial"/>
      <family val="2"/>
      <charset val="204"/>
    </font>
    <font>
      <b/>
      <sz val="11"/>
      <name val="Arial"/>
      <family val="2"/>
      <charset val="204"/>
    </font>
    <font>
      <b/>
      <sz val="10"/>
      <name val="Times New Roman"/>
      <family val="1"/>
      <charset val="204"/>
    </font>
    <font>
      <b/>
      <sz val="9"/>
      <name val="Arial Cyr"/>
      <charset val="204"/>
    </font>
    <font>
      <sz val="9"/>
      <name val="Arial Cyr"/>
      <charset val="204"/>
    </font>
    <font>
      <b/>
      <sz val="12"/>
      <name val="Arial Cyr"/>
      <charset val="204"/>
    </font>
    <font>
      <b/>
      <sz val="11"/>
      <name val="Arial Cyr"/>
      <charset val="204"/>
    </font>
    <font>
      <sz val="11"/>
      <name val="Arial Cyr"/>
      <charset val="204"/>
    </font>
    <font>
      <b/>
      <i/>
      <sz val="11"/>
      <name val="Times New Roman"/>
      <family val="1"/>
      <charset val="204"/>
    </font>
    <font>
      <i/>
      <sz val="11"/>
      <name val="Times New Roman"/>
      <family val="1"/>
      <charset val="204"/>
    </font>
    <font>
      <b/>
      <sz val="10"/>
      <name val="Arial Cyr"/>
      <charset val="204"/>
    </font>
    <font>
      <b/>
      <sz val="13"/>
      <name val="Times New Roman"/>
      <family val="1"/>
      <charset val="204"/>
    </font>
    <font>
      <sz val="12"/>
      <color rgb="FFCC00FF"/>
      <name val="Times New Roman"/>
      <family val="1"/>
      <charset val="204"/>
    </font>
    <font>
      <b/>
      <sz val="11"/>
      <color rgb="FFCC00FF"/>
      <name val="Times New Roman"/>
      <family val="1"/>
      <charset val="204"/>
    </font>
    <font>
      <sz val="11"/>
      <color rgb="FFCC00FF"/>
      <name val="Times New Roman"/>
      <family val="1"/>
      <charset val="204"/>
    </font>
    <font>
      <i/>
      <sz val="12"/>
      <color rgb="FFCC00FF"/>
      <name val="Times New Roman"/>
      <family val="1"/>
      <charset val="204"/>
    </font>
    <font>
      <b/>
      <i/>
      <sz val="11"/>
      <color rgb="FFCC00FF"/>
      <name val="Times New Roman"/>
      <family val="1"/>
      <charset val="204"/>
    </font>
    <font>
      <i/>
      <sz val="11"/>
      <color rgb="FFCC00FF"/>
      <name val="Times New Roman"/>
      <family val="1"/>
      <charset val="204"/>
    </font>
    <font>
      <sz val="10"/>
      <name val="Times New Roman"/>
      <family val="1"/>
      <charset val="204"/>
    </font>
    <font>
      <b/>
      <sz val="13"/>
      <name val="Arial Cyr"/>
      <charset val="204"/>
    </font>
    <font>
      <sz val="13"/>
      <name val="Arial Cyr"/>
      <charset val="204"/>
    </font>
    <font>
      <b/>
      <sz val="15"/>
      <name val="Times New Roman"/>
      <family val="1"/>
      <charset val="204"/>
    </font>
    <font>
      <b/>
      <sz val="17"/>
      <color rgb="FFFF0000"/>
      <name val="Times New Roman"/>
      <family val="1"/>
      <charset val="204"/>
    </font>
  </fonts>
  <fills count="20">
    <fill>
      <patternFill patternType="none"/>
    </fill>
    <fill>
      <patternFill patternType="gray125"/>
    </fill>
    <fill>
      <patternFill patternType="solid">
        <fgColor theme="7" tint="-0.249977111117893"/>
        <bgColor indexed="64"/>
      </patternFill>
    </fill>
    <fill>
      <patternFill patternType="solid">
        <fgColor theme="4" tint="0.59999389629810485"/>
        <bgColor indexed="64"/>
      </patternFill>
    </fill>
    <fill>
      <patternFill patternType="solid">
        <fgColor theme="0" tint="-4.9989318521683403E-2"/>
        <bgColor indexed="64"/>
      </patternFill>
    </fill>
    <fill>
      <patternFill patternType="solid">
        <fgColor rgb="FF92D050"/>
        <bgColor indexed="64"/>
      </patternFill>
    </fill>
    <fill>
      <patternFill patternType="solid">
        <fgColor rgb="FFFFC000"/>
        <bgColor indexed="64"/>
      </patternFill>
    </fill>
    <fill>
      <patternFill patternType="solid">
        <fgColor rgb="FFFFFF00"/>
        <bgColor indexed="64"/>
      </patternFill>
    </fill>
    <fill>
      <patternFill patternType="solid">
        <fgColor rgb="FFFF0000"/>
        <bgColor indexed="64"/>
      </patternFill>
    </fill>
    <fill>
      <patternFill patternType="solid">
        <fgColor rgb="FF00B050"/>
        <bgColor indexed="64"/>
      </patternFill>
    </fill>
    <fill>
      <patternFill patternType="solid">
        <fgColor rgb="FFCC99FF"/>
        <bgColor indexed="64"/>
      </patternFill>
    </fill>
    <fill>
      <patternFill patternType="solid">
        <fgColor rgb="FF00B0F0"/>
        <bgColor indexed="64"/>
      </patternFill>
    </fill>
    <fill>
      <patternFill patternType="solid">
        <fgColor theme="0" tint="-0.249977111117893"/>
        <bgColor indexed="64"/>
      </patternFill>
    </fill>
    <fill>
      <patternFill patternType="solid">
        <fgColor rgb="FFFF66CC"/>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rgb="FFFFFF99"/>
        <bgColor indexed="64"/>
      </patternFill>
    </fill>
    <fill>
      <patternFill patternType="solid">
        <fgColor theme="0"/>
        <bgColor indexed="64"/>
      </patternFill>
    </fill>
    <fill>
      <patternFill patternType="solid">
        <fgColor theme="4" tint="0.79998168889431442"/>
        <bgColor indexed="64"/>
      </patternFill>
    </fill>
    <fill>
      <patternFill patternType="solid">
        <fgColor theme="5" tint="0.59999389629810485"/>
        <bgColor indexed="64"/>
      </patternFill>
    </fill>
  </fills>
  <borders count="62">
    <border>
      <left/>
      <right/>
      <top/>
      <bottom/>
      <diagonal/>
    </border>
    <border>
      <left style="medium">
        <color auto="1"/>
      </left>
      <right style="dashed">
        <color auto="1"/>
      </right>
      <top style="medium">
        <color auto="1"/>
      </top>
      <bottom style="dashed">
        <color auto="1"/>
      </bottom>
      <diagonal/>
    </border>
    <border>
      <left style="dashed">
        <color auto="1"/>
      </left>
      <right style="dashed">
        <color auto="1"/>
      </right>
      <top style="medium">
        <color auto="1"/>
      </top>
      <bottom style="dashed">
        <color auto="1"/>
      </bottom>
      <diagonal/>
    </border>
    <border>
      <left style="dashed">
        <color auto="1"/>
      </left>
      <right style="medium">
        <color auto="1"/>
      </right>
      <top style="medium">
        <color auto="1"/>
      </top>
      <bottom style="dashed">
        <color auto="1"/>
      </bottom>
      <diagonal/>
    </border>
    <border>
      <left style="medium">
        <color auto="1"/>
      </left>
      <right style="dashed">
        <color auto="1"/>
      </right>
      <top style="dashed">
        <color auto="1"/>
      </top>
      <bottom style="dashed">
        <color auto="1"/>
      </bottom>
      <diagonal/>
    </border>
    <border>
      <left style="dashed">
        <color auto="1"/>
      </left>
      <right style="dashed">
        <color auto="1"/>
      </right>
      <top style="dashed">
        <color auto="1"/>
      </top>
      <bottom style="dashed">
        <color auto="1"/>
      </bottom>
      <diagonal/>
    </border>
    <border>
      <left style="dashed">
        <color auto="1"/>
      </left>
      <right style="medium">
        <color auto="1"/>
      </right>
      <top style="dashed">
        <color auto="1"/>
      </top>
      <bottom style="dashed">
        <color auto="1"/>
      </bottom>
      <diagonal/>
    </border>
    <border>
      <left style="medium">
        <color theme="0" tint="-0.499984740745262"/>
      </left>
      <right style="dashed">
        <color theme="0" tint="-0.499984740745262"/>
      </right>
      <top style="medium">
        <color theme="0" tint="-0.499984740745262"/>
      </top>
      <bottom style="dashed">
        <color theme="0" tint="-0.499984740745262"/>
      </bottom>
      <diagonal/>
    </border>
    <border>
      <left style="dashed">
        <color theme="0" tint="-0.499984740745262"/>
      </left>
      <right style="dashed">
        <color theme="0" tint="-0.499984740745262"/>
      </right>
      <top style="medium">
        <color theme="0" tint="-0.499984740745262"/>
      </top>
      <bottom style="dashed">
        <color theme="0" tint="-0.499984740745262"/>
      </bottom>
      <diagonal/>
    </border>
    <border>
      <left style="dashed">
        <color theme="0" tint="-0.499984740745262"/>
      </left>
      <right style="medium">
        <color theme="0" tint="-0.499984740745262"/>
      </right>
      <top style="medium">
        <color theme="0" tint="-0.499984740745262"/>
      </top>
      <bottom style="dashed">
        <color theme="0" tint="-0.499984740745262"/>
      </bottom>
      <diagonal/>
    </border>
    <border>
      <left style="medium">
        <color theme="0" tint="-0.499984740745262"/>
      </left>
      <right style="dashed">
        <color theme="0" tint="-0.499984740745262"/>
      </right>
      <top style="dashed">
        <color theme="0" tint="-0.499984740745262"/>
      </top>
      <bottom style="dashed">
        <color theme="0" tint="-0.499984740745262"/>
      </bottom>
      <diagonal/>
    </border>
    <border>
      <left style="dashed">
        <color theme="0" tint="-0.499984740745262"/>
      </left>
      <right style="dashed">
        <color theme="0" tint="-0.499984740745262"/>
      </right>
      <top style="dashed">
        <color theme="0" tint="-0.499984740745262"/>
      </top>
      <bottom style="dashed">
        <color theme="0" tint="-0.499984740745262"/>
      </bottom>
      <diagonal/>
    </border>
    <border>
      <left style="dashed">
        <color theme="0" tint="-0.499984740745262"/>
      </left>
      <right style="medium">
        <color theme="0" tint="-0.499984740745262"/>
      </right>
      <top style="dashed">
        <color theme="0" tint="-0.499984740745262"/>
      </top>
      <bottom style="dashed">
        <color theme="0" tint="-0.499984740745262"/>
      </bottom>
      <diagonal/>
    </border>
    <border>
      <left style="medium">
        <color theme="0" tint="-0.499984740745262"/>
      </left>
      <right style="dashed">
        <color theme="0" tint="-0.499984740745262"/>
      </right>
      <top style="dashed">
        <color theme="0" tint="-0.499984740745262"/>
      </top>
      <bottom style="medium">
        <color theme="0" tint="-0.499984740745262"/>
      </bottom>
      <diagonal/>
    </border>
    <border>
      <left style="dashed">
        <color theme="0" tint="-0.499984740745262"/>
      </left>
      <right style="dashed">
        <color theme="0" tint="-0.499984740745262"/>
      </right>
      <top style="dashed">
        <color theme="0" tint="-0.499984740745262"/>
      </top>
      <bottom style="medium">
        <color theme="0" tint="-0.499984740745262"/>
      </bottom>
      <diagonal/>
    </border>
    <border>
      <left style="dashed">
        <color theme="0" tint="-0.499984740745262"/>
      </left>
      <right style="medium">
        <color theme="0" tint="-0.499984740745262"/>
      </right>
      <top style="dashed">
        <color theme="0" tint="-0.499984740745262"/>
      </top>
      <bottom style="medium">
        <color theme="0" tint="-0.499984740745262"/>
      </bottom>
      <diagonal/>
    </border>
    <border>
      <left style="dashed">
        <color theme="0" tint="-0.499984740745262"/>
      </left>
      <right/>
      <top style="medium">
        <color theme="0" tint="-0.499984740745262"/>
      </top>
      <bottom style="dashed">
        <color theme="0" tint="-0.499984740745262"/>
      </bottom>
      <diagonal/>
    </border>
    <border>
      <left style="dashed">
        <color theme="0" tint="-0.499984740745262"/>
      </left>
      <right/>
      <top style="dashed">
        <color theme="0" tint="-0.499984740745262"/>
      </top>
      <bottom style="dashed">
        <color theme="0" tint="-0.499984740745262"/>
      </bottom>
      <diagonal/>
    </border>
    <border>
      <left style="dashed">
        <color theme="0" tint="-0.499984740745262"/>
      </left>
      <right/>
      <top style="dashed">
        <color theme="0" tint="-0.499984740745262"/>
      </top>
      <bottom style="medium">
        <color theme="0" tint="-0.499984740745262"/>
      </bottom>
      <diagonal/>
    </border>
    <border>
      <left style="dashed">
        <color theme="0" tint="-0.499984740745262"/>
      </left>
      <right style="dashed">
        <color theme="0" tint="-0.499984740745262"/>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bottom/>
      <diagonal/>
    </border>
    <border>
      <left/>
      <right style="thin">
        <color indexed="64"/>
      </right>
      <top/>
      <bottom/>
      <diagonal/>
    </border>
    <border>
      <left style="thin">
        <color indexed="64"/>
      </left>
      <right style="thin">
        <color indexed="64"/>
      </right>
      <top/>
      <bottom/>
      <diagonal/>
    </border>
    <border>
      <left style="medium">
        <color indexed="64"/>
      </left>
      <right/>
      <top/>
      <bottom/>
      <diagonal/>
    </border>
    <border>
      <left/>
      <right style="medium">
        <color indexed="64"/>
      </right>
      <top/>
      <bottom/>
      <diagonal/>
    </border>
    <border>
      <left style="thin">
        <color indexed="64"/>
      </left>
      <right style="medium">
        <color indexed="64"/>
      </right>
      <top/>
      <bottom/>
      <diagonal/>
    </border>
    <border>
      <left style="medium">
        <color indexed="64"/>
      </left>
      <right style="medium">
        <color indexed="64"/>
      </right>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diagonalUp="1" diagonalDown="1">
      <left style="medium">
        <color indexed="64"/>
      </left>
      <right style="thin">
        <color indexed="64"/>
      </right>
      <top style="thin">
        <color indexed="64"/>
      </top>
      <bottom style="thin">
        <color indexed="64"/>
      </bottom>
      <diagonal style="thin">
        <color indexed="64"/>
      </diagonal>
    </border>
    <border diagonalUp="1" diagonalDown="1">
      <left style="thin">
        <color indexed="64"/>
      </left>
      <right style="thin">
        <color indexed="64"/>
      </right>
      <top style="thin">
        <color indexed="64"/>
      </top>
      <bottom style="thin">
        <color indexed="64"/>
      </bottom>
      <diagonal style="thin">
        <color indexed="64"/>
      </diagonal>
    </border>
    <border>
      <left style="medium">
        <color indexed="64"/>
      </left>
      <right style="medium">
        <color indexed="64"/>
      </right>
      <top style="thin">
        <color indexed="64"/>
      </top>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diagonalUp="1" diagonalDown="1">
      <left style="medium">
        <color indexed="64"/>
      </left>
      <right/>
      <top style="thin">
        <color indexed="64"/>
      </top>
      <bottom style="thin">
        <color indexed="64"/>
      </bottom>
      <diagonal style="thin">
        <color indexed="64"/>
      </diagonal>
    </border>
  </borders>
  <cellStyleXfs count="17">
    <xf numFmtId="0" fontId="0" fillId="0" borderId="0"/>
    <xf numFmtId="0" fontId="10" fillId="0" borderId="0"/>
    <xf numFmtId="0" fontId="18" fillId="0" borderId="0"/>
    <xf numFmtId="164" fontId="18" fillId="0" borderId="0" applyFont="0" applyFill="0" applyBorder="0" applyAlignment="0" applyProtection="0"/>
    <xf numFmtId="165" fontId="10" fillId="0" borderId="0" applyFont="0" applyFill="0" applyBorder="0" applyAlignment="0" applyProtection="0"/>
    <xf numFmtId="0" fontId="21" fillId="0" borderId="0"/>
    <xf numFmtId="0" fontId="10" fillId="0" borderId="0"/>
    <xf numFmtId="0" fontId="10" fillId="0" borderId="0"/>
    <xf numFmtId="164" fontId="10" fillId="0" borderId="0" applyFont="0" applyFill="0" applyBorder="0" applyAlignment="0" applyProtection="0"/>
    <xf numFmtId="0" fontId="10" fillId="0" borderId="0"/>
    <xf numFmtId="0" fontId="1" fillId="0" borderId="0"/>
    <xf numFmtId="0" fontId="18" fillId="0" borderId="0"/>
    <xf numFmtId="0" fontId="21" fillId="0" borderId="0"/>
    <xf numFmtId="164" fontId="18" fillId="0" borderId="0" applyFont="0" applyFill="0" applyBorder="0" applyAlignment="0" applyProtection="0"/>
    <xf numFmtId="0" fontId="46" fillId="0" borderId="0"/>
    <xf numFmtId="0" fontId="50" fillId="0" borderId="0"/>
    <xf numFmtId="0" fontId="70" fillId="0" borderId="0"/>
  </cellStyleXfs>
  <cellXfs count="496">
    <xf numFmtId="0" fontId="0" fillId="0" borderId="0" xfId="0"/>
    <xf numFmtId="0" fontId="2" fillId="0" borderId="0" xfId="0" applyFont="1"/>
    <xf numFmtId="0" fontId="3" fillId="0" borderId="0" xfId="0" applyFont="1" applyAlignment="1">
      <alignment horizontal="center" vertical="top" wrapText="1"/>
    </xf>
    <xf numFmtId="0" fontId="2" fillId="0" borderId="0" xfId="0" applyFont="1" applyAlignment="1">
      <alignment horizontal="right" vertical="top"/>
    </xf>
    <xf numFmtId="0" fontId="5" fillId="0" borderId="0" xfId="0" applyFont="1" applyAlignment="1">
      <alignment horizontal="left" vertical="center"/>
    </xf>
    <xf numFmtId="0" fontId="2" fillId="0" borderId="0" xfId="0" applyFont="1" applyAlignment="1">
      <alignment horizontal="center" vertical="top" wrapText="1"/>
    </xf>
    <xf numFmtId="0" fontId="2" fillId="0" borderId="0" xfId="0" applyFont="1" applyAlignment="1">
      <alignment vertical="top"/>
    </xf>
    <xf numFmtId="0" fontId="4" fillId="0" borderId="0" xfId="0" applyFont="1" applyAlignment="1">
      <alignment wrapText="1"/>
    </xf>
    <xf numFmtId="0" fontId="6" fillId="0" borderId="0" xfId="0" applyFont="1" applyFill="1"/>
    <xf numFmtId="0" fontId="6" fillId="0" borderId="0" xfId="0" applyFont="1"/>
    <xf numFmtId="0" fontId="6" fillId="0" borderId="0" xfId="0" applyFont="1" applyAlignment="1">
      <alignment horizontal="center" vertical="top" wrapText="1"/>
    </xf>
    <xf numFmtId="0" fontId="7" fillId="0" borderId="0" xfId="0" applyFont="1"/>
    <xf numFmtId="0" fontId="9" fillId="0" borderId="0" xfId="0" applyFont="1" applyAlignment="1">
      <alignment horizontal="center" vertical="top" wrapText="1"/>
    </xf>
    <xf numFmtId="0" fontId="0" fillId="0" borderId="0" xfId="0" applyFont="1"/>
    <xf numFmtId="0" fontId="10" fillId="0" borderId="0" xfId="0" applyFont="1" applyAlignment="1">
      <alignment horizontal="center" vertical="top" wrapText="1"/>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2" xfId="0" applyFont="1" applyBorder="1" applyAlignment="1">
      <alignment horizontal="center" wrapText="1"/>
    </xf>
    <xf numFmtId="0" fontId="7" fillId="0" borderId="2" xfId="0" applyFont="1" applyBorder="1" applyAlignment="1">
      <alignment horizontal="center" vertical="center" wrapText="1"/>
    </xf>
    <xf numFmtId="0" fontId="7" fillId="0" borderId="2" xfId="0" applyFont="1" applyBorder="1" applyAlignment="1">
      <alignment wrapText="1"/>
    </xf>
    <xf numFmtId="0" fontId="7" fillId="0" borderId="2" xfId="0" applyFont="1" applyBorder="1"/>
    <xf numFmtId="0" fontId="7" fillId="0" borderId="3" xfId="0" applyFont="1" applyBorder="1"/>
    <xf numFmtId="0" fontId="7" fillId="0" borderId="4" xfId="0" applyFont="1" applyBorder="1"/>
    <xf numFmtId="0" fontId="7" fillId="0" borderId="5" xfId="0" applyFont="1" applyBorder="1"/>
    <xf numFmtId="0" fontId="8" fillId="0" borderId="5" xfId="0" applyFont="1" applyBorder="1"/>
    <xf numFmtId="2" fontId="7" fillId="0" borderId="6" xfId="0" applyNumberFormat="1" applyFont="1" applyBorder="1"/>
    <xf numFmtId="0" fontId="7" fillId="0" borderId="4" xfId="0" applyFont="1" applyBorder="1" applyAlignment="1">
      <alignment wrapText="1"/>
    </xf>
    <xf numFmtId="0" fontId="7" fillId="0" borderId="5" xfId="0" applyFont="1" applyBorder="1" applyAlignment="1">
      <alignment wrapText="1"/>
    </xf>
    <xf numFmtId="0" fontId="11" fillId="0" borderId="5" xfId="0" applyFont="1" applyBorder="1"/>
    <xf numFmtId="0" fontId="12" fillId="0" borderId="5" xfId="0" applyFont="1" applyBorder="1"/>
    <xf numFmtId="16" fontId="2" fillId="0" borderId="0" xfId="0" applyNumberFormat="1" applyFont="1" applyAlignment="1">
      <alignment horizontal="right" vertical="top"/>
    </xf>
    <xf numFmtId="16" fontId="6" fillId="0" borderId="0" xfId="0" applyNumberFormat="1" applyFont="1" applyAlignment="1">
      <alignment horizontal="center" vertical="top" wrapText="1"/>
    </xf>
    <xf numFmtId="0" fontId="6" fillId="2" borderId="0" xfId="0" applyFont="1" applyFill="1"/>
    <xf numFmtId="0" fontId="13" fillId="0" borderId="0" xfId="0" applyFont="1" applyAlignment="1">
      <alignment wrapText="1"/>
    </xf>
    <xf numFmtId="0" fontId="2" fillId="0" borderId="0" xfId="0" applyFont="1" applyAlignment="1">
      <alignment wrapText="1"/>
    </xf>
    <xf numFmtId="0" fontId="7" fillId="3" borderId="0" xfId="0" applyFont="1" applyFill="1"/>
    <xf numFmtId="0" fontId="8" fillId="0" borderId="5" xfId="0" applyFont="1" applyFill="1" applyBorder="1"/>
    <xf numFmtId="0" fontId="15" fillId="0" borderId="7" xfId="0" applyFont="1" applyBorder="1"/>
    <xf numFmtId="0" fontId="7" fillId="0" borderId="8" xfId="0" applyFont="1" applyBorder="1"/>
    <xf numFmtId="0" fontId="7" fillId="0" borderId="9" xfId="0" applyFont="1" applyBorder="1"/>
    <xf numFmtId="0" fontId="7" fillId="0" borderId="10" xfId="0" applyFont="1" applyBorder="1"/>
    <xf numFmtId="0" fontId="7" fillId="0" borderId="11" xfId="0" applyFont="1" applyBorder="1"/>
    <xf numFmtId="0" fontId="7" fillId="0" borderId="12" xfId="0" applyFont="1" applyBorder="1"/>
    <xf numFmtId="0" fontId="7" fillId="0" borderId="13" xfId="0" applyFont="1" applyBorder="1"/>
    <xf numFmtId="0" fontId="7" fillId="0" borderId="14" xfId="0" applyFont="1" applyBorder="1"/>
    <xf numFmtId="0" fontId="7" fillId="0" borderId="15" xfId="0" applyFont="1" applyBorder="1"/>
    <xf numFmtId="0" fontId="7" fillId="0" borderId="0" xfId="0" applyFont="1" applyBorder="1"/>
    <xf numFmtId="2" fontId="7" fillId="0" borderId="0" xfId="0" applyNumberFormat="1" applyFont="1"/>
    <xf numFmtId="2" fontId="16" fillId="0" borderId="0" xfId="0" applyNumberFormat="1" applyFont="1"/>
    <xf numFmtId="0" fontId="6" fillId="0" borderId="0" xfId="0" applyFont="1" applyAlignment="1">
      <alignment wrapText="1"/>
    </xf>
    <xf numFmtId="0" fontId="6" fillId="0" borderId="0" xfId="0" applyFont="1" applyFill="1" applyAlignment="1">
      <alignment horizontal="center"/>
    </xf>
    <xf numFmtId="0" fontId="6" fillId="5" borderId="0" xfId="0" applyFont="1" applyFill="1"/>
    <xf numFmtId="0" fontId="6" fillId="6" borderId="0" xfId="0" applyFont="1" applyFill="1"/>
    <xf numFmtId="0" fontId="6" fillId="7" borderId="0" xfId="0" applyFont="1" applyFill="1"/>
    <xf numFmtId="0" fontId="6" fillId="8" borderId="0" xfId="0" applyFont="1" applyFill="1"/>
    <xf numFmtId="0" fontId="6" fillId="9" borderId="0" xfId="0" applyFont="1" applyFill="1"/>
    <xf numFmtId="0" fontId="6" fillId="10" borderId="0" xfId="0" applyFont="1" applyFill="1"/>
    <xf numFmtId="0" fontId="6" fillId="0" borderId="0" xfId="0" applyFont="1" applyFill="1" applyAlignment="1">
      <alignment vertical="top"/>
    </xf>
    <xf numFmtId="0" fontId="14" fillId="0" borderId="0" xfId="0" applyFont="1" applyAlignment="1">
      <alignment vertical="center"/>
    </xf>
    <xf numFmtId="0" fontId="7" fillId="0" borderId="5" xfId="0" applyFont="1" applyFill="1" applyBorder="1"/>
    <xf numFmtId="0" fontId="6" fillId="0" borderId="0" xfId="0" applyFont="1" applyAlignment="1">
      <alignment vertical="top"/>
    </xf>
    <xf numFmtId="0" fontId="6" fillId="0" borderId="0" xfId="0" applyNumberFormat="1" applyFont="1" applyFill="1" applyAlignment="1">
      <alignment vertical="top"/>
    </xf>
    <xf numFmtId="0" fontId="6" fillId="3" borderId="0" xfId="0" applyFont="1" applyFill="1"/>
    <xf numFmtId="0" fontId="6" fillId="4" borderId="0" xfId="0" applyFont="1" applyFill="1"/>
    <xf numFmtId="0" fontId="6" fillId="11" borderId="0" xfId="0" applyFont="1" applyFill="1"/>
    <xf numFmtId="0" fontId="6" fillId="12" borderId="0" xfId="0" applyFont="1" applyFill="1"/>
    <xf numFmtId="0" fontId="6" fillId="13" borderId="0" xfId="0" applyFont="1" applyFill="1"/>
    <xf numFmtId="0" fontId="6" fillId="0" borderId="0" xfId="0" applyFont="1" applyFill="1" applyAlignment="1">
      <alignment wrapText="1"/>
    </xf>
    <xf numFmtId="0" fontId="7" fillId="0" borderId="16" xfId="0" applyFont="1" applyBorder="1"/>
    <xf numFmtId="0" fontId="7" fillId="0" borderId="17" xfId="0" applyFont="1" applyBorder="1"/>
    <xf numFmtId="0" fontId="7" fillId="0" borderId="18" xfId="0" applyFont="1" applyBorder="1"/>
    <xf numFmtId="0" fontId="11" fillId="0" borderId="5" xfId="0" applyFont="1" applyFill="1" applyBorder="1"/>
    <xf numFmtId="0" fontId="7" fillId="0" borderId="4" xfId="0" applyFont="1" applyFill="1" applyBorder="1"/>
    <xf numFmtId="2" fontId="16" fillId="0" borderId="6" xfId="0" applyNumberFormat="1" applyFont="1" applyBorder="1"/>
    <xf numFmtId="0" fontId="7" fillId="0" borderId="19" xfId="0" applyFont="1" applyBorder="1"/>
    <xf numFmtId="0" fontId="4" fillId="0" borderId="0" xfId="0" applyFont="1" applyFill="1" applyAlignment="1">
      <alignment horizontal="center" vertical="top"/>
    </xf>
    <xf numFmtId="0" fontId="4" fillId="0" borderId="0" xfId="0" applyFont="1" applyFill="1" applyAlignment="1">
      <alignment horizontal="center"/>
    </xf>
    <xf numFmtId="0" fontId="4" fillId="0" borderId="0" xfId="0" applyFont="1"/>
    <xf numFmtId="0" fontId="17" fillId="0" borderId="5" xfId="0" applyFont="1" applyBorder="1"/>
    <xf numFmtId="0" fontId="17" fillId="0" borderId="5" xfId="0" applyFont="1" applyFill="1" applyBorder="1"/>
    <xf numFmtId="0" fontId="22" fillId="0" borderId="0" xfId="1" applyFont="1" applyFill="1" applyAlignment="1">
      <alignment horizontal="right" vertical="center"/>
    </xf>
    <xf numFmtId="0" fontId="23" fillId="0" borderId="0" xfId="1" applyFont="1" applyFill="1" applyAlignment="1">
      <alignment vertical="center"/>
    </xf>
    <xf numFmtId="0" fontId="24" fillId="0" borderId="0" xfId="1" applyFont="1" applyFill="1"/>
    <xf numFmtId="0" fontId="25" fillId="0" borderId="0" xfId="1" applyFont="1" applyFill="1" applyBorder="1"/>
    <xf numFmtId="0" fontId="26" fillId="0" borderId="0" xfId="1" applyFont="1" applyFill="1" applyBorder="1" applyAlignment="1">
      <alignment horizontal="left" wrapText="1"/>
    </xf>
    <xf numFmtId="0" fontId="26" fillId="0" borderId="0" xfId="1" applyFont="1" applyFill="1" applyBorder="1" applyAlignment="1">
      <alignment horizontal="center" wrapText="1"/>
    </xf>
    <xf numFmtId="0" fontId="25" fillId="0" borderId="0" xfId="1" applyFont="1" applyFill="1" applyBorder="1" applyAlignment="1">
      <alignment horizontal="center" vertical="center"/>
    </xf>
    <xf numFmtId="4" fontId="25" fillId="0" borderId="0" xfId="1" applyNumberFormat="1" applyFont="1" applyFill="1" applyBorder="1" applyAlignment="1">
      <alignment horizontal="center" vertical="center"/>
    </xf>
    <xf numFmtId="4" fontId="25" fillId="0" borderId="0" xfId="4" applyNumberFormat="1" applyFont="1" applyFill="1" applyBorder="1" applyAlignment="1" applyProtection="1"/>
    <xf numFmtId="4" fontId="25" fillId="0" borderId="0" xfId="1" applyNumberFormat="1" applyFont="1" applyFill="1" applyBorder="1"/>
    <xf numFmtId="4" fontId="25" fillId="0" borderId="0" xfId="1" applyNumberFormat="1" applyFont="1" applyFill="1" applyBorder="1" applyAlignment="1">
      <alignment horizontal="center"/>
    </xf>
    <xf numFmtId="0" fontId="25" fillId="0" borderId="0" xfId="1" applyFont="1" applyFill="1"/>
    <xf numFmtId="0" fontId="26" fillId="0" borderId="0" xfId="1" applyFont="1" applyFill="1" applyAlignment="1">
      <alignment vertical="center"/>
    </xf>
    <xf numFmtId="0" fontId="12" fillId="0" borderId="0" xfId="1" applyFont="1" applyAlignment="1">
      <alignment vertical="center"/>
    </xf>
    <xf numFmtId="0" fontId="17" fillId="0" borderId="0" xfId="1" applyFont="1"/>
    <xf numFmtId="0" fontId="4" fillId="16" borderId="34" xfId="1" applyFont="1" applyFill="1" applyBorder="1" applyAlignment="1">
      <alignment horizontal="center" vertical="center" wrapText="1"/>
    </xf>
    <xf numFmtId="0" fontId="4" fillId="0" borderId="0" xfId="1" applyFont="1"/>
    <xf numFmtId="0" fontId="4" fillId="0" borderId="20" xfId="1" applyFont="1" applyFill="1" applyBorder="1" applyAlignment="1">
      <alignment horizontal="center" vertical="center" wrapText="1"/>
    </xf>
    <xf numFmtId="0" fontId="26" fillId="0" borderId="0" xfId="1" applyFont="1" applyFill="1" applyBorder="1" applyAlignment="1">
      <alignment horizontal="right" vertical="center" wrapText="1"/>
    </xf>
    <xf numFmtId="0" fontId="29" fillId="0" borderId="0" xfId="1" applyFont="1" applyFill="1" applyBorder="1" applyAlignment="1">
      <alignment horizontal="right" vertical="center" wrapText="1"/>
    </xf>
    <xf numFmtId="0" fontId="25" fillId="0" borderId="0" xfId="1" applyFont="1" applyFill="1" applyBorder="1" applyAlignment="1">
      <alignment vertical="center" wrapText="1"/>
    </xf>
    <xf numFmtId="2" fontId="26" fillId="0" borderId="0" xfId="1" applyNumberFormat="1" applyFont="1" applyFill="1" applyBorder="1" applyAlignment="1">
      <alignment horizontal="center" vertical="center" wrapText="1"/>
    </xf>
    <xf numFmtId="0" fontId="27" fillId="0" borderId="0" xfId="1" applyFont="1" applyFill="1" applyAlignment="1">
      <alignment vertical="center"/>
    </xf>
    <xf numFmtId="0" fontId="28" fillId="0" borderId="0" xfId="1" applyFont="1" applyFill="1"/>
    <xf numFmtId="0" fontId="26" fillId="0" borderId="0" xfId="1" applyFont="1" applyFill="1" applyBorder="1" applyAlignment="1">
      <alignment horizontal="center" vertical="top"/>
    </xf>
    <xf numFmtId="0" fontId="19" fillId="0" borderId="0" xfId="1" applyFont="1" applyFill="1" applyBorder="1" applyAlignment="1">
      <alignment vertical="top"/>
    </xf>
    <xf numFmtId="0" fontId="26" fillId="0" borderId="0" xfId="1" applyFont="1" applyFill="1" applyBorder="1" applyAlignment="1">
      <alignment vertical="center"/>
    </xf>
    <xf numFmtId="0" fontId="26" fillId="0" borderId="0" xfId="1" applyFont="1" applyFill="1" applyBorder="1" applyAlignment="1">
      <alignment vertical="top"/>
    </xf>
    <xf numFmtId="2" fontId="25" fillId="0" borderId="0" xfId="1" applyNumberFormat="1" applyFont="1" applyFill="1" applyBorder="1" applyAlignment="1">
      <alignment vertical="top"/>
    </xf>
    <xf numFmtId="0" fontId="25" fillId="0" borderId="0" xfId="1" applyFont="1" applyFill="1" applyBorder="1" applyAlignment="1">
      <alignment horizontal="left" vertical="top"/>
    </xf>
    <xf numFmtId="0" fontId="17" fillId="0" borderId="0" xfId="1" applyFont="1" applyFill="1" applyBorder="1" applyAlignment="1">
      <alignment vertical="top"/>
    </xf>
    <xf numFmtId="0" fontId="22" fillId="0" borderId="0" xfId="1" applyFont="1"/>
    <xf numFmtId="0" fontId="19" fillId="0" borderId="0" xfId="1" applyFont="1" applyFill="1" applyBorder="1" applyAlignment="1">
      <alignment horizontal="right" vertical="center" wrapText="1"/>
    </xf>
    <xf numFmtId="0" fontId="4" fillId="0" borderId="0" xfId="1" applyFont="1" applyFill="1" applyBorder="1" applyAlignment="1">
      <alignment vertical="center" wrapText="1"/>
    </xf>
    <xf numFmtId="2" fontId="19" fillId="0" borderId="0" xfId="1" applyNumberFormat="1" applyFont="1" applyFill="1" applyBorder="1" applyAlignment="1">
      <alignment horizontal="center" vertical="center" wrapText="1"/>
    </xf>
    <xf numFmtId="0" fontId="30" fillId="0" borderId="0" xfId="1" applyFont="1" applyAlignment="1">
      <alignment vertical="center"/>
    </xf>
    <xf numFmtId="0" fontId="31" fillId="0" borderId="0" xfId="1" applyFont="1"/>
    <xf numFmtId="0" fontId="31" fillId="0" borderId="0" xfId="1" applyFont="1" applyFill="1"/>
    <xf numFmtId="0" fontId="25" fillId="0" borderId="0" xfId="1" applyFont="1" applyAlignment="1">
      <alignment horizontal="left" vertical="center"/>
    </xf>
    <xf numFmtId="0" fontId="4" fillId="0" borderId="0" xfId="1" applyFont="1" applyAlignment="1">
      <alignment horizontal="left" readingOrder="1"/>
    </xf>
    <xf numFmtId="0" fontId="32" fillId="0" borderId="0" xfId="2" applyFont="1" applyFill="1" applyAlignment="1"/>
    <xf numFmtId="0" fontId="32" fillId="0" borderId="0" xfId="2" applyFont="1" applyFill="1"/>
    <xf numFmtId="0" fontId="32" fillId="0" borderId="0" xfId="2" applyFont="1"/>
    <xf numFmtId="164" fontId="32" fillId="0" borderId="0" xfId="3" applyFont="1"/>
    <xf numFmtId="164" fontId="32" fillId="0" borderId="0" xfId="3" applyFont="1" applyAlignment="1">
      <alignment horizontal="right"/>
    </xf>
    <xf numFmtId="0" fontId="4" fillId="0" borderId="0" xfId="2" applyFont="1" applyAlignment="1">
      <alignment horizontal="center" vertical="center"/>
    </xf>
    <xf numFmtId="0" fontId="33" fillId="0" borderId="0" xfId="2" applyFont="1" applyAlignment="1">
      <alignment horizontal="center" vertical="center"/>
    </xf>
    <xf numFmtId="0" fontId="33" fillId="0" borderId="0" xfId="2" applyFont="1" applyAlignment="1">
      <alignment vertical="center"/>
    </xf>
    <xf numFmtId="0" fontId="31" fillId="0" borderId="0" xfId="2" applyFont="1"/>
    <xf numFmtId="0" fontId="31" fillId="0" borderId="0" xfId="2" applyFont="1" applyFill="1"/>
    <xf numFmtId="164" fontId="32" fillId="0" borderId="0" xfId="3" applyFont="1" applyAlignment="1">
      <alignment horizontal="left"/>
    </xf>
    <xf numFmtId="0" fontId="4" fillId="0" borderId="0" xfId="2" applyFont="1" applyFill="1" applyAlignment="1">
      <alignment vertical="center" wrapText="1"/>
    </xf>
    <xf numFmtId="0" fontId="4" fillId="0" borderId="0" xfId="2" applyFont="1" applyFill="1" applyAlignment="1">
      <alignment horizontal="center" vertical="center" wrapText="1"/>
    </xf>
    <xf numFmtId="0" fontId="19" fillId="0" borderId="0" xfId="1" applyFont="1" applyAlignment="1">
      <alignment horizontal="left"/>
    </xf>
    <xf numFmtId="0" fontId="29" fillId="0" borderId="0" xfId="1" applyNumberFormat="1" applyFont="1" applyFill="1" applyBorder="1" applyAlignment="1">
      <alignment horizontal="left" vertical="center" wrapText="1"/>
    </xf>
    <xf numFmtId="0" fontId="24" fillId="0" borderId="0" xfId="1" applyFont="1" applyFill="1" applyAlignment="1">
      <alignment horizontal="center"/>
    </xf>
    <xf numFmtId="0" fontId="24" fillId="0" borderId="0" xfId="1" applyFont="1" applyFill="1" applyAlignment="1"/>
    <xf numFmtId="0" fontId="34" fillId="0" borderId="0" xfId="1" applyFont="1" applyBorder="1" applyAlignment="1">
      <alignment vertical="center" wrapText="1"/>
    </xf>
    <xf numFmtId="0" fontId="34" fillId="0" borderId="0" xfId="1" applyFont="1" applyAlignment="1">
      <alignment horizontal="left" vertical="center" wrapText="1"/>
    </xf>
    <xf numFmtId="0" fontId="34" fillId="0" borderId="0" xfId="1" applyFont="1" applyAlignment="1">
      <alignment horizontal="center" vertical="center"/>
    </xf>
    <xf numFmtId="0" fontId="35" fillId="0" borderId="0" xfId="1" applyFont="1" applyAlignment="1">
      <alignment horizontal="center" vertical="center"/>
    </xf>
    <xf numFmtId="0" fontId="4" fillId="0" borderId="50" xfId="1" applyFont="1" applyFill="1" applyBorder="1" applyAlignment="1">
      <alignment horizontal="center" vertical="center" wrapText="1"/>
    </xf>
    <xf numFmtId="0" fontId="19" fillId="0" borderId="0" xfId="1" applyFont="1" applyAlignment="1">
      <alignment vertical="center"/>
    </xf>
    <xf numFmtId="0" fontId="36" fillId="0" borderId="20" xfId="1" applyFont="1" applyFill="1" applyBorder="1" applyAlignment="1">
      <alignment horizontal="center" vertical="center" wrapText="1"/>
    </xf>
    <xf numFmtId="0" fontId="36" fillId="0" borderId="50" xfId="1" applyFont="1" applyFill="1" applyBorder="1" applyAlignment="1">
      <alignment horizontal="center" vertical="center" wrapText="1"/>
    </xf>
    <xf numFmtId="0" fontId="37" fillId="0" borderId="0" xfId="1" applyFont="1" applyAlignment="1">
      <alignment vertical="center"/>
    </xf>
    <xf numFmtId="0" fontId="38" fillId="0" borderId="0" xfId="1" applyFont="1"/>
    <xf numFmtId="0" fontId="4" fillId="0" borderId="45" xfId="1" applyFont="1" applyFill="1" applyBorder="1" applyAlignment="1">
      <alignment horizontal="center" vertical="center" wrapText="1"/>
    </xf>
    <xf numFmtId="0" fontId="4" fillId="0" borderId="0" xfId="1" applyFont="1" applyFill="1"/>
    <xf numFmtId="0" fontId="19" fillId="0" borderId="0" xfId="1" applyFont="1" applyFill="1" applyAlignment="1">
      <alignment vertical="center"/>
    </xf>
    <xf numFmtId="0" fontId="22" fillId="0" borderId="0" xfId="1" applyFont="1" applyFill="1" applyAlignment="1">
      <alignment horizontal="center"/>
    </xf>
    <xf numFmtId="165" fontId="22" fillId="0" borderId="0" xfId="4" applyFont="1" applyFill="1" applyBorder="1" applyAlignment="1" applyProtection="1"/>
    <xf numFmtId="4" fontId="40" fillId="0" borderId="0" xfId="4" applyNumberFormat="1" applyFont="1" applyFill="1" applyBorder="1" applyAlignment="1" applyProtection="1"/>
    <xf numFmtId="0" fontId="22" fillId="0" borderId="0" xfId="1" applyFont="1" applyFill="1"/>
    <xf numFmtId="0" fontId="39" fillId="0" borderId="0" xfId="1" applyFont="1" applyAlignment="1">
      <alignment vertical="top"/>
    </xf>
    <xf numFmtId="0" fontId="4" fillId="0" borderId="0" xfId="1" applyFont="1" applyFill="1" applyAlignment="1">
      <alignment wrapText="1"/>
    </xf>
    <xf numFmtId="0" fontId="4" fillId="0" borderId="0" xfId="1" applyFont="1" applyFill="1" applyAlignment="1">
      <alignment horizontal="center" wrapText="1"/>
    </xf>
    <xf numFmtId="0" fontId="22" fillId="0" borderId="0" xfId="1" applyFont="1" applyFill="1" applyAlignment="1">
      <alignment horizontal="center" vertical="center"/>
    </xf>
    <xf numFmtId="4" fontId="22" fillId="0" borderId="0" xfId="1" applyNumberFormat="1" applyFont="1" applyFill="1" applyAlignment="1">
      <alignment horizontal="center" vertical="center"/>
    </xf>
    <xf numFmtId="0" fontId="29" fillId="0" borderId="0" xfId="1" applyFont="1" applyFill="1" applyAlignment="1">
      <alignment vertical="center"/>
    </xf>
    <xf numFmtId="49" fontId="6" fillId="0" borderId="48" xfId="1" applyNumberFormat="1" applyFont="1" applyFill="1" applyBorder="1" applyAlignment="1">
      <alignment horizontal="center" vertical="center" wrapText="1"/>
    </xf>
    <xf numFmtId="0" fontId="6" fillId="0" borderId="20" xfId="1" applyFont="1" applyFill="1" applyBorder="1" applyAlignment="1">
      <alignment horizontal="center" vertical="center" wrapText="1"/>
    </xf>
    <xf numFmtId="2" fontId="6" fillId="14" borderId="20" xfId="1" applyNumberFormat="1" applyFont="1" applyFill="1" applyBorder="1" applyAlignment="1">
      <alignment horizontal="center" vertical="center" wrapText="1"/>
    </xf>
    <xf numFmtId="2" fontId="6" fillId="0" borderId="47" xfId="1" applyNumberFormat="1" applyFont="1" applyFill="1" applyBorder="1" applyAlignment="1">
      <alignment horizontal="center" vertical="center" wrapText="1"/>
    </xf>
    <xf numFmtId="2" fontId="6" fillId="0" borderId="48" xfId="1" applyNumberFormat="1" applyFont="1" applyBorder="1" applyAlignment="1">
      <alignment horizontal="center" vertical="center" wrapText="1"/>
    </xf>
    <xf numFmtId="2" fontId="6" fillId="0" borderId="20" xfId="1" applyNumberFormat="1" applyFont="1" applyBorder="1" applyAlignment="1">
      <alignment horizontal="center" vertical="center" wrapText="1"/>
    </xf>
    <xf numFmtId="49" fontId="2" fillId="0" borderId="48" xfId="1" applyNumberFormat="1" applyFont="1" applyFill="1" applyBorder="1" applyAlignment="1">
      <alignment horizontal="center" vertical="center" wrapText="1"/>
    </xf>
    <xf numFmtId="0" fontId="2" fillId="0" borderId="20" xfId="1" applyFont="1" applyFill="1" applyBorder="1" applyAlignment="1">
      <alignment horizontal="center" vertical="center" wrapText="1"/>
    </xf>
    <xf numFmtId="2" fontId="2" fillId="14" borderId="20" xfId="1" applyNumberFormat="1" applyFont="1" applyFill="1" applyBorder="1" applyAlignment="1">
      <alignment horizontal="center" vertical="center" wrapText="1"/>
    </xf>
    <xf numFmtId="2" fontId="2" fillId="0" borderId="47" xfId="1" applyNumberFormat="1" applyFont="1" applyFill="1" applyBorder="1" applyAlignment="1">
      <alignment horizontal="center" vertical="center" wrapText="1"/>
    </xf>
    <xf numFmtId="2" fontId="2" fillId="0" borderId="48" xfId="1" applyNumberFormat="1" applyFont="1" applyBorder="1" applyAlignment="1">
      <alignment horizontal="center" vertical="center" wrapText="1"/>
    </xf>
    <xf numFmtId="2" fontId="2" fillId="0" borderId="20" xfId="1" applyNumberFormat="1" applyFont="1" applyBorder="1" applyAlignment="1">
      <alignment horizontal="center" vertical="center" wrapText="1"/>
    </xf>
    <xf numFmtId="0" fontId="41" fillId="15" borderId="20" xfId="1" applyFont="1" applyFill="1" applyBorder="1" applyAlignment="1">
      <alignment vertical="center" wrapText="1"/>
    </xf>
    <xf numFmtId="0" fontId="41" fillId="15" borderId="20" xfId="1" applyFont="1" applyFill="1" applyBorder="1" applyAlignment="1">
      <alignment horizontal="center" vertical="center" wrapText="1"/>
    </xf>
    <xf numFmtId="0" fontId="41" fillId="15" borderId="46" xfId="1" applyFont="1" applyFill="1" applyBorder="1" applyAlignment="1">
      <alignment horizontal="center" vertical="center" wrapText="1"/>
    </xf>
    <xf numFmtId="2" fontId="41" fillId="15" borderId="43" xfId="1" applyNumberFormat="1" applyFont="1" applyFill="1" applyBorder="1" applyAlignment="1">
      <alignment horizontal="center" vertical="center" wrapText="1"/>
    </xf>
    <xf numFmtId="2" fontId="41" fillId="15" borderId="20" xfId="1" applyNumberFormat="1" applyFont="1" applyFill="1" applyBorder="1" applyAlignment="1">
      <alignment horizontal="center" vertical="center" wrapText="1"/>
    </xf>
    <xf numFmtId="2" fontId="41" fillId="15" borderId="47" xfId="1" applyNumberFormat="1" applyFont="1" applyFill="1" applyBorder="1" applyAlignment="1">
      <alignment horizontal="center" vertical="center" wrapText="1"/>
    </xf>
    <xf numFmtId="2" fontId="41" fillId="15" borderId="48" xfId="1" applyNumberFormat="1" applyFont="1" applyFill="1" applyBorder="1" applyAlignment="1">
      <alignment horizontal="center" vertical="center" wrapText="1"/>
    </xf>
    <xf numFmtId="0" fontId="41" fillId="15" borderId="49" xfId="1" applyFont="1" applyFill="1" applyBorder="1" applyAlignment="1">
      <alignment vertical="center" wrapText="1"/>
    </xf>
    <xf numFmtId="0" fontId="41" fillId="19" borderId="20" xfId="1" applyFont="1" applyFill="1" applyBorder="1" applyAlignment="1">
      <alignment vertical="center" wrapText="1"/>
    </xf>
    <xf numFmtId="0" fontId="41" fillId="19" borderId="20" xfId="1" applyFont="1" applyFill="1" applyBorder="1" applyAlignment="1">
      <alignment horizontal="center" vertical="center" wrapText="1"/>
    </xf>
    <xf numFmtId="0" fontId="41" fillId="19" borderId="46" xfId="1" applyFont="1" applyFill="1" applyBorder="1" applyAlignment="1">
      <alignment horizontal="center" vertical="center" wrapText="1"/>
    </xf>
    <xf numFmtId="2" fontId="41" fillId="19" borderId="43" xfId="1" applyNumberFormat="1" applyFont="1" applyFill="1" applyBorder="1" applyAlignment="1">
      <alignment horizontal="center" vertical="center" wrapText="1"/>
    </xf>
    <xf numFmtId="2" fontId="41" fillId="19" borderId="20" xfId="1" applyNumberFormat="1" applyFont="1" applyFill="1" applyBorder="1" applyAlignment="1">
      <alignment horizontal="center" vertical="center" wrapText="1"/>
    </xf>
    <xf numFmtId="2" fontId="41" fillId="19" borderId="47" xfId="1" applyNumberFormat="1" applyFont="1" applyFill="1" applyBorder="1" applyAlignment="1">
      <alignment horizontal="center" vertical="center" wrapText="1"/>
    </xf>
    <xf numFmtId="2" fontId="41" fillId="19" borderId="48" xfId="1" applyNumberFormat="1" applyFont="1" applyFill="1" applyBorder="1" applyAlignment="1">
      <alignment horizontal="center" vertical="center" wrapText="1"/>
    </xf>
    <xf numFmtId="0" fontId="41" fillId="19" borderId="49" xfId="1" applyFont="1" applyFill="1" applyBorder="1" applyAlignment="1">
      <alignment vertical="center" wrapText="1"/>
    </xf>
    <xf numFmtId="0" fontId="41" fillId="16" borderId="30" xfId="1" applyFont="1" applyFill="1" applyBorder="1" applyAlignment="1">
      <alignment vertical="center" wrapText="1"/>
    </xf>
    <xf numFmtId="0" fontId="41" fillId="16" borderId="30" xfId="1" applyFont="1" applyFill="1" applyBorder="1" applyAlignment="1">
      <alignment horizontal="center" vertical="center" wrapText="1"/>
    </xf>
    <xf numFmtId="2" fontId="41" fillId="16" borderId="52" xfId="1" applyNumberFormat="1" applyFont="1" applyFill="1" applyBorder="1" applyAlignment="1">
      <alignment horizontal="center" vertical="center" wrapText="1"/>
    </xf>
    <xf numFmtId="2" fontId="41" fillId="16" borderId="32" xfId="1" applyNumberFormat="1" applyFont="1" applyFill="1" applyBorder="1" applyAlignment="1">
      <alignment horizontal="center" vertical="center" wrapText="1"/>
    </xf>
    <xf numFmtId="2" fontId="41" fillId="16" borderId="30" xfId="1" applyNumberFormat="1" applyFont="1" applyFill="1" applyBorder="1" applyAlignment="1">
      <alignment horizontal="center" vertical="center" wrapText="1"/>
    </xf>
    <xf numFmtId="0" fontId="6" fillId="17" borderId="20" xfId="1" applyFont="1" applyFill="1" applyBorder="1" applyAlignment="1">
      <alignment horizontal="left" vertical="center" wrapText="1"/>
    </xf>
    <xf numFmtId="0" fontId="42" fillId="17" borderId="20" xfId="1" applyFont="1" applyFill="1" applyBorder="1" applyAlignment="1">
      <alignment horizontal="right" vertical="center" wrapText="1"/>
    </xf>
    <xf numFmtId="0" fontId="42" fillId="17" borderId="20" xfId="1" applyFont="1" applyFill="1" applyBorder="1" applyAlignment="1">
      <alignment horizontal="center" vertical="center" wrapText="1"/>
    </xf>
    <xf numFmtId="0" fontId="6" fillId="0" borderId="46" xfId="1" applyFont="1" applyFill="1" applyBorder="1" applyAlignment="1">
      <alignment horizontal="center" vertical="center" wrapText="1"/>
    </xf>
    <xf numFmtId="2" fontId="6" fillId="0" borderId="48" xfId="1" applyNumberFormat="1" applyFont="1" applyFill="1" applyBorder="1" applyAlignment="1">
      <alignment horizontal="center" vertical="center" wrapText="1"/>
    </xf>
    <xf numFmtId="0" fontId="42" fillId="0" borderId="20" xfId="1" applyFont="1" applyFill="1" applyBorder="1" applyAlignment="1">
      <alignment horizontal="center" vertical="center" wrapText="1"/>
    </xf>
    <xf numFmtId="2" fontId="42" fillId="0" borderId="47" xfId="1" applyNumberFormat="1" applyFont="1" applyFill="1" applyBorder="1" applyAlignment="1">
      <alignment horizontal="center" vertical="center" wrapText="1"/>
    </xf>
    <xf numFmtId="2" fontId="42" fillId="14" borderId="48" xfId="1" applyNumberFormat="1" applyFont="1" applyFill="1" applyBorder="1" applyAlignment="1">
      <alignment horizontal="center" vertical="center" wrapText="1"/>
    </xf>
    <xf numFmtId="2" fontId="42" fillId="0" borderId="20" xfId="1" applyNumberFormat="1" applyFont="1" applyFill="1" applyBorder="1" applyAlignment="1">
      <alignment horizontal="center" vertical="center" wrapText="1"/>
    </xf>
    <xf numFmtId="2" fontId="42" fillId="0" borderId="48" xfId="1" applyNumberFormat="1" applyFont="1" applyFill="1" applyBorder="1" applyAlignment="1">
      <alignment horizontal="center" vertical="center" wrapText="1"/>
    </xf>
    <xf numFmtId="0" fontId="42" fillId="0" borderId="20" xfId="1" applyFont="1" applyFill="1" applyBorder="1" applyAlignment="1">
      <alignment horizontal="right" vertical="center" wrapText="1"/>
    </xf>
    <xf numFmtId="49" fontId="42" fillId="0" borderId="48" xfId="1" applyNumberFormat="1" applyFont="1" applyFill="1" applyBorder="1" applyAlignment="1">
      <alignment horizontal="center" vertical="center" wrapText="1"/>
    </xf>
    <xf numFmtId="0" fontId="41" fillId="16" borderId="29" xfId="1" applyFont="1" applyFill="1" applyBorder="1" applyAlignment="1">
      <alignment horizontal="center" vertical="center" wrapText="1"/>
    </xf>
    <xf numFmtId="0" fontId="6" fillId="16" borderId="34" xfId="1" applyFont="1" applyFill="1" applyBorder="1" applyAlignment="1">
      <alignment horizontal="center" vertical="center" wrapText="1"/>
    </xf>
    <xf numFmtId="0" fontId="6" fillId="0" borderId="50" xfId="1" applyFont="1" applyFill="1" applyBorder="1" applyAlignment="1">
      <alignment horizontal="center" vertical="center" wrapText="1"/>
    </xf>
    <xf numFmtId="0" fontId="42" fillId="0" borderId="50" xfId="1" applyFont="1" applyFill="1" applyBorder="1" applyAlignment="1">
      <alignment horizontal="center" vertical="center" wrapText="1"/>
    </xf>
    <xf numFmtId="0" fontId="2" fillId="17" borderId="20" xfId="1" applyFont="1" applyFill="1" applyBorder="1" applyAlignment="1">
      <alignment horizontal="left" vertical="center" wrapText="1"/>
    </xf>
    <xf numFmtId="0" fontId="43" fillId="17" borderId="20" xfId="1" applyFont="1" applyFill="1" applyBorder="1" applyAlignment="1">
      <alignment horizontal="right" vertical="center" wrapText="1"/>
    </xf>
    <xf numFmtId="0" fontId="43" fillId="0" borderId="20" xfId="1" applyFont="1" applyFill="1" applyBorder="1" applyAlignment="1">
      <alignment horizontal="center" vertical="center" wrapText="1"/>
    </xf>
    <xf numFmtId="0" fontId="2" fillId="0" borderId="46" xfId="1" applyFont="1" applyFill="1" applyBorder="1" applyAlignment="1">
      <alignment horizontal="center" vertical="center" wrapText="1"/>
    </xf>
    <xf numFmtId="2" fontId="2" fillId="0" borderId="48" xfId="1" applyNumberFormat="1" applyFont="1" applyFill="1" applyBorder="1" applyAlignment="1">
      <alignment horizontal="center" vertical="center" wrapText="1"/>
    </xf>
    <xf numFmtId="2" fontId="43" fillId="0" borderId="20" xfId="1" applyNumberFormat="1" applyFont="1" applyFill="1" applyBorder="1" applyAlignment="1">
      <alignment horizontal="center" vertical="center" wrapText="1"/>
    </xf>
    <xf numFmtId="2" fontId="43" fillId="0" borderId="47" xfId="1" applyNumberFormat="1" applyFont="1" applyFill="1" applyBorder="1" applyAlignment="1">
      <alignment horizontal="center" vertical="center" wrapText="1"/>
    </xf>
    <xf numFmtId="2" fontId="43" fillId="14" borderId="48" xfId="1" applyNumberFormat="1" applyFont="1" applyFill="1" applyBorder="1" applyAlignment="1">
      <alignment horizontal="center" vertical="center" wrapText="1"/>
    </xf>
    <xf numFmtId="2" fontId="43" fillId="0" borderId="48" xfId="1" applyNumberFormat="1" applyFont="1" applyFill="1" applyBorder="1" applyAlignment="1">
      <alignment horizontal="center" vertical="center" wrapText="1"/>
    </xf>
    <xf numFmtId="0" fontId="43" fillId="17" borderId="20" xfId="1" applyFont="1" applyFill="1" applyBorder="1" applyAlignment="1">
      <alignment horizontal="center" vertical="center" wrapText="1"/>
    </xf>
    <xf numFmtId="49" fontId="43" fillId="0" borderId="48" xfId="1" applyNumberFormat="1" applyFont="1" applyFill="1" applyBorder="1" applyAlignment="1">
      <alignment horizontal="center" vertical="center" wrapText="1"/>
    </xf>
    <xf numFmtId="0" fontId="5" fillId="16" borderId="29" xfId="1" applyFont="1" applyFill="1" applyBorder="1" applyAlignment="1">
      <alignment horizontal="center" vertical="center" wrapText="1"/>
    </xf>
    <xf numFmtId="2" fontId="6" fillId="0" borderId="53" xfId="1" applyNumberFormat="1" applyFont="1" applyFill="1" applyBorder="1" applyAlignment="1">
      <alignment horizontal="center" vertical="center" wrapText="1"/>
    </xf>
    <xf numFmtId="2" fontId="42" fillId="0" borderId="54" xfId="1" applyNumberFormat="1" applyFont="1" applyFill="1" applyBorder="1" applyAlignment="1">
      <alignment horizontal="center" vertical="center" wrapText="1"/>
    </xf>
    <xf numFmtId="0" fontId="6" fillId="0" borderId="20" xfId="1" applyFont="1" applyFill="1" applyBorder="1" applyAlignment="1">
      <alignment horizontal="left" vertical="center" wrapText="1"/>
    </xf>
    <xf numFmtId="0" fontId="41" fillId="16" borderId="20" xfId="1" applyFont="1" applyFill="1" applyBorder="1" applyAlignment="1">
      <alignment horizontal="left" vertical="center" wrapText="1"/>
    </xf>
    <xf numFmtId="49" fontId="6" fillId="0" borderId="45" xfId="1" applyNumberFormat="1" applyFont="1" applyFill="1" applyBorder="1" applyAlignment="1">
      <alignment horizontal="center" vertical="center" wrapText="1"/>
    </xf>
    <xf numFmtId="0" fontId="6" fillId="0" borderId="20" xfId="1" applyFont="1" applyFill="1" applyBorder="1" applyAlignment="1">
      <alignment vertical="center" wrapText="1"/>
    </xf>
    <xf numFmtId="4" fontId="6" fillId="0" borderId="46" xfId="1" applyNumberFormat="1" applyFont="1" applyFill="1" applyBorder="1" applyAlignment="1">
      <alignment horizontal="center" vertical="center" wrapText="1"/>
    </xf>
    <xf numFmtId="0" fontId="6" fillId="0" borderId="49" xfId="1" applyFont="1" applyFill="1" applyBorder="1" applyAlignment="1">
      <alignment horizontal="center" vertical="center" wrapText="1"/>
    </xf>
    <xf numFmtId="0" fontId="41" fillId="16" borderId="48" xfId="1" applyFont="1" applyFill="1" applyBorder="1" applyAlignment="1">
      <alignment horizontal="center" vertical="center" wrapText="1"/>
    </xf>
    <xf numFmtId="0" fontId="41" fillId="16" borderId="20" xfId="1" applyFont="1" applyFill="1" applyBorder="1" applyAlignment="1">
      <alignment horizontal="center" vertical="center" wrapText="1"/>
    </xf>
    <xf numFmtId="0" fontId="41" fillId="16" borderId="20" xfId="1" applyFont="1" applyFill="1" applyBorder="1" applyAlignment="1">
      <alignment vertical="center" wrapText="1"/>
    </xf>
    <xf numFmtId="2" fontId="41" fillId="16" borderId="46" xfId="1" applyNumberFormat="1" applyFont="1" applyFill="1" applyBorder="1" applyAlignment="1">
      <alignment horizontal="center" vertical="center" wrapText="1"/>
    </xf>
    <xf numFmtId="2" fontId="41" fillId="16" borderId="43" xfId="1" applyNumberFormat="1" applyFont="1" applyFill="1" applyBorder="1" applyAlignment="1">
      <alignment horizontal="center" vertical="center" wrapText="1"/>
    </xf>
    <xf numFmtId="2" fontId="41" fillId="16" borderId="20" xfId="1" applyNumberFormat="1" applyFont="1" applyFill="1" applyBorder="1" applyAlignment="1">
      <alignment horizontal="center" vertical="center" wrapText="1"/>
    </xf>
    <xf numFmtId="2" fontId="41" fillId="16" borderId="47" xfId="1" applyNumberFormat="1" applyFont="1" applyFill="1" applyBorder="1" applyAlignment="1">
      <alignment horizontal="center" vertical="center" wrapText="1"/>
    </xf>
    <xf numFmtId="2" fontId="41" fillId="16" borderId="48" xfId="1" applyNumberFormat="1" applyFont="1" applyFill="1" applyBorder="1" applyAlignment="1">
      <alignment horizontal="center" vertical="center" wrapText="1"/>
    </xf>
    <xf numFmtId="0" fontId="41" fillId="16" borderId="49" xfId="1" applyFont="1" applyFill="1" applyBorder="1" applyAlignment="1">
      <alignment vertical="center" wrapText="1"/>
    </xf>
    <xf numFmtId="0" fontId="42" fillId="0" borderId="20" xfId="6" applyFont="1" applyFill="1" applyBorder="1" applyAlignment="1">
      <alignment horizontal="center" vertical="center" wrapText="1"/>
    </xf>
    <xf numFmtId="0" fontId="41" fillId="16" borderId="51" xfId="1" applyFont="1" applyFill="1" applyBorder="1" applyAlignment="1">
      <alignment horizontal="center" vertical="center" wrapText="1"/>
    </xf>
    <xf numFmtId="49" fontId="6" fillId="0" borderId="48" xfId="0" applyNumberFormat="1" applyFont="1" applyFill="1" applyBorder="1" applyAlignment="1">
      <alignment horizontal="center" vertical="center" wrapText="1"/>
    </xf>
    <xf numFmtId="0" fontId="6" fillId="0" borderId="20" xfId="0" applyFont="1" applyFill="1" applyBorder="1" applyAlignment="1">
      <alignment horizontal="center" vertical="center" wrapText="1"/>
    </xf>
    <xf numFmtId="0" fontId="6" fillId="0" borderId="46" xfId="0" applyFont="1" applyFill="1" applyBorder="1" applyAlignment="1">
      <alignment horizontal="center" vertical="center" wrapText="1"/>
    </xf>
    <xf numFmtId="2" fontId="6" fillId="0" borderId="47" xfId="0" applyNumberFormat="1" applyFont="1" applyFill="1" applyBorder="1" applyAlignment="1">
      <alignment horizontal="center" vertical="center" wrapText="1"/>
    </xf>
    <xf numFmtId="2" fontId="6" fillId="0" borderId="48" xfId="0" applyNumberFormat="1" applyFont="1" applyFill="1" applyBorder="1" applyAlignment="1">
      <alignment horizontal="center" vertical="center" wrapText="1"/>
    </xf>
    <xf numFmtId="164" fontId="6" fillId="14" borderId="20" xfId="8" applyFont="1" applyFill="1" applyBorder="1" applyAlignment="1">
      <alignment horizontal="center" vertical="center" wrapText="1"/>
    </xf>
    <xf numFmtId="2" fontId="6" fillId="0" borderId="48" xfId="0" applyNumberFormat="1" applyFont="1" applyBorder="1" applyAlignment="1">
      <alignment horizontal="center" vertical="center" wrapText="1"/>
    </xf>
    <xf numFmtId="2" fontId="6" fillId="0" borderId="20" xfId="0" applyNumberFormat="1" applyFont="1" applyBorder="1" applyAlignment="1">
      <alignment horizontal="center" vertical="center" wrapText="1"/>
    </xf>
    <xf numFmtId="49" fontId="42" fillId="0" borderId="48" xfId="0" applyNumberFormat="1" applyFont="1" applyFill="1" applyBorder="1" applyAlignment="1">
      <alignment horizontal="center" vertical="center" wrapText="1"/>
    </xf>
    <xf numFmtId="0" fontId="42" fillId="17" borderId="20" xfId="0" applyFont="1" applyFill="1" applyBorder="1" applyAlignment="1">
      <alignment horizontal="center" vertical="center" wrapText="1"/>
    </xf>
    <xf numFmtId="0" fontId="42" fillId="0" borderId="20" xfId="0" applyFont="1" applyFill="1" applyBorder="1" applyAlignment="1">
      <alignment horizontal="center" vertical="center" wrapText="1"/>
    </xf>
    <xf numFmtId="2" fontId="42" fillId="0" borderId="47" xfId="0" applyNumberFormat="1" applyFont="1" applyFill="1" applyBorder="1" applyAlignment="1">
      <alignment horizontal="center" vertical="center" wrapText="1"/>
    </xf>
    <xf numFmtId="164" fontId="42" fillId="14" borderId="48" xfId="8" applyFont="1" applyFill="1" applyBorder="1" applyAlignment="1">
      <alignment horizontal="center" vertical="center" wrapText="1"/>
    </xf>
    <xf numFmtId="164" fontId="42" fillId="0" borderId="20" xfId="8" applyFont="1" applyFill="1" applyBorder="1" applyAlignment="1">
      <alignment horizontal="center" vertical="center" wrapText="1"/>
    </xf>
    <xf numFmtId="164" fontId="42" fillId="0" borderId="47" xfId="8" applyFont="1" applyFill="1" applyBorder="1" applyAlignment="1">
      <alignment horizontal="center" vertical="center" wrapText="1"/>
    </xf>
    <xf numFmtId="164" fontId="42" fillId="0" borderId="48" xfId="8" applyFont="1" applyFill="1" applyBorder="1" applyAlignment="1">
      <alignment horizontal="center" vertical="center" wrapText="1"/>
    </xf>
    <xf numFmtId="0" fontId="42" fillId="0" borderId="50" xfId="0" applyFont="1" applyFill="1" applyBorder="1" applyAlignment="1">
      <alignment horizontal="center" vertical="center" wrapText="1"/>
    </xf>
    <xf numFmtId="0" fontId="41" fillId="0" borderId="50" xfId="0" applyFont="1" applyFill="1" applyBorder="1" applyAlignment="1">
      <alignment horizontal="center" vertical="center" wrapText="1"/>
    </xf>
    <xf numFmtId="0" fontId="47" fillId="0" borderId="21" xfId="1" quotePrefix="1" applyFont="1" applyBorder="1" applyAlignment="1">
      <alignment vertical="center"/>
    </xf>
    <xf numFmtId="49" fontId="6" fillId="0" borderId="29" xfId="1" applyNumberFormat="1" applyFont="1" applyFill="1" applyBorder="1" applyAlignment="1">
      <alignment horizontal="center" vertical="center" wrapText="1"/>
    </xf>
    <xf numFmtId="49" fontId="6" fillId="0" borderId="20" xfId="1" applyNumberFormat="1" applyFont="1" applyFill="1" applyBorder="1" applyAlignment="1">
      <alignment vertical="center" wrapText="1"/>
    </xf>
    <xf numFmtId="0" fontId="6" fillId="0" borderId="34" xfId="1" applyFont="1" applyFill="1" applyBorder="1" applyAlignment="1">
      <alignment horizontal="center" vertical="center" wrapText="1"/>
    </xf>
    <xf numFmtId="0" fontId="6" fillId="16" borderId="50" xfId="1" applyFont="1" applyFill="1" applyBorder="1" applyAlignment="1">
      <alignment horizontal="center" vertical="center" wrapText="1"/>
    </xf>
    <xf numFmtId="49" fontId="6" fillId="0" borderId="43" xfId="6" applyNumberFormat="1" applyFont="1" applyFill="1" applyBorder="1" applyAlignment="1">
      <alignment horizontal="center" vertical="center" wrapText="1"/>
    </xf>
    <xf numFmtId="0" fontId="47" fillId="0" borderId="0" xfId="1" applyFont="1" applyAlignment="1">
      <alignment vertical="center"/>
    </xf>
    <xf numFmtId="4" fontId="41" fillId="16" borderId="52" xfId="1" applyNumberFormat="1" applyFont="1" applyFill="1" applyBorder="1" applyAlignment="1">
      <alignment horizontal="center" vertical="center" wrapText="1"/>
    </xf>
    <xf numFmtId="4" fontId="41" fillId="16" borderId="32" xfId="1" applyNumberFormat="1" applyFont="1" applyFill="1" applyBorder="1" applyAlignment="1">
      <alignment horizontal="center" vertical="center" wrapText="1"/>
    </xf>
    <xf numFmtId="4" fontId="41" fillId="16" borderId="30" xfId="1" applyNumberFormat="1" applyFont="1" applyFill="1" applyBorder="1" applyAlignment="1">
      <alignment horizontal="center" vertical="center" wrapText="1"/>
    </xf>
    <xf numFmtId="49" fontId="6" fillId="0" borderId="43" xfId="1" applyNumberFormat="1" applyFont="1" applyFill="1" applyBorder="1" applyAlignment="1">
      <alignment horizontal="center" vertical="center" wrapText="1"/>
    </xf>
    <xf numFmtId="4" fontId="6" fillId="0" borderId="47" xfId="1" applyNumberFormat="1" applyFont="1" applyFill="1" applyBorder="1" applyAlignment="1">
      <alignment horizontal="center" vertical="center" wrapText="1"/>
    </xf>
    <xf numFmtId="2" fontId="6" fillId="14" borderId="48" xfId="1" applyNumberFormat="1" applyFont="1" applyFill="1" applyBorder="1" applyAlignment="1">
      <alignment horizontal="center" vertical="center" wrapText="1"/>
    </xf>
    <xf numFmtId="2" fontId="42" fillId="0" borderId="43" xfId="1" applyNumberFormat="1" applyFont="1" applyFill="1" applyBorder="1" applyAlignment="1">
      <alignment horizontal="center" vertical="center" wrapText="1"/>
    </xf>
    <xf numFmtId="2" fontId="6" fillId="0" borderId="20" xfId="1" applyNumberFormat="1" applyFont="1" applyFill="1" applyBorder="1" applyAlignment="1">
      <alignment horizontal="center" vertical="center" wrapText="1"/>
    </xf>
    <xf numFmtId="1" fontId="6" fillId="0" borderId="20" xfId="1" applyNumberFormat="1" applyFont="1" applyFill="1" applyBorder="1" applyAlignment="1">
      <alignment horizontal="center" vertical="center" wrapText="1"/>
    </xf>
    <xf numFmtId="0" fontId="41" fillId="16" borderId="46" xfId="1" applyFont="1" applyFill="1" applyBorder="1" applyAlignment="1">
      <alignment horizontal="center" vertical="center" wrapText="1"/>
    </xf>
    <xf numFmtId="0" fontId="6" fillId="0" borderId="32" xfId="1" applyFont="1" applyFill="1" applyBorder="1" applyAlignment="1">
      <alignment horizontal="center" vertical="center" wrapText="1"/>
    </xf>
    <xf numFmtId="0" fontId="6" fillId="0" borderId="33" xfId="1" applyFont="1" applyFill="1" applyBorder="1" applyAlignment="1">
      <alignment horizontal="center" vertical="center" wrapText="1"/>
    </xf>
    <xf numFmtId="0" fontId="6" fillId="0" borderId="36" xfId="1" applyFont="1" applyFill="1" applyBorder="1" applyAlignment="1">
      <alignment horizontal="center" vertical="center" wrapText="1"/>
    </xf>
    <xf numFmtId="0" fontId="6" fillId="0" borderId="37" xfId="1" applyFont="1" applyFill="1" applyBorder="1" applyAlignment="1">
      <alignment horizontal="center" vertical="center" wrapText="1"/>
    </xf>
    <xf numFmtId="0" fontId="6" fillId="0" borderId="38" xfId="1" applyFont="1" applyFill="1" applyBorder="1" applyAlignment="1">
      <alignment horizontal="center" vertical="center" wrapText="1"/>
    </xf>
    <xf numFmtId="0" fontId="6" fillId="0" borderId="21" xfId="1" applyFont="1" applyFill="1" applyBorder="1" applyAlignment="1">
      <alignment horizontal="center" vertical="center" wrapText="1"/>
    </xf>
    <xf numFmtId="0" fontId="6" fillId="0" borderId="39" xfId="1" applyFont="1" applyFill="1" applyBorder="1" applyAlignment="1">
      <alignment horizontal="center" vertical="center" wrapText="1"/>
    </xf>
    <xf numFmtId="0" fontId="6" fillId="0" borderId="40" xfId="1" applyFont="1" applyFill="1" applyBorder="1" applyAlignment="1">
      <alignment horizontal="center" vertical="center" wrapText="1"/>
    </xf>
    <xf numFmtId="0" fontId="6" fillId="0" borderId="41" xfId="1" applyFont="1" applyFill="1" applyBorder="1" applyAlignment="1">
      <alignment horizontal="center" vertical="center" wrapText="1"/>
    </xf>
    <xf numFmtId="0" fontId="6" fillId="0" borderId="45" xfId="1" applyFont="1" applyFill="1" applyBorder="1" applyAlignment="1">
      <alignment horizontal="center" vertical="center" wrapText="1"/>
    </xf>
    <xf numFmtId="0" fontId="41" fillId="18" borderId="57" xfId="1" applyFont="1" applyFill="1" applyBorder="1" applyAlignment="1">
      <alignment horizontal="center" vertical="center" wrapText="1"/>
    </xf>
    <xf numFmtId="2" fontId="41" fillId="18" borderId="56" xfId="8" applyNumberFormat="1" applyFont="1" applyFill="1" applyBorder="1" applyAlignment="1">
      <alignment horizontal="center" vertical="center" wrapText="1"/>
    </xf>
    <xf numFmtId="2" fontId="41" fillId="18" borderId="57" xfId="8" applyNumberFormat="1" applyFont="1" applyFill="1" applyBorder="1" applyAlignment="1">
      <alignment horizontal="center" vertical="center" wrapText="1"/>
    </xf>
    <xf numFmtId="2" fontId="41" fillId="18" borderId="58" xfId="8" applyNumberFormat="1" applyFont="1" applyFill="1" applyBorder="1" applyAlignment="1">
      <alignment horizontal="center" vertical="center" wrapText="1"/>
    </xf>
    <xf numFmtId="0" fontId="16" fillId="18" borderId="57" xfId="1" applyFont="1" applyFill="1" applyBorder="1" applyAlignment="1">
      <alignment horizontal="right" vertical="center" wrapText="1"/>
    </xf>
    <xf numFmtId="0" fontId="22" fillId="0" borderId="0" xfId="0" applyFont="1" applyAlignment="1">
      <alignment vertical="center"/>
    </xf>
    <xf numFmtId="0" fontId="41" fillId="18" borderId="57" xfId="1" applyFont="1" applyFill="1" applyBorder="1" applyAlignment="1">
      <alignment vertical="center" wrapText="1"/>
    </xf>
    <xf numFmtId="0" fontId="41" fillId="18" borderId="58" xfId="1" applyFont="1" applyFill="1" applyBorder="1" applyAlignment="1">
      <alignment vertical="center" wrapText="1"/>
    </xf>
    <xf numFmtId="2" fontId="41" fillId="18" borderId="59" xfId="1" applyNumberFormat="1" applyFont="1" applyFill="1" applyBorder="1" applyAlignment="1">
      <alignment vertical="center" wrapText="1"/>
    </xf>
    <xf numFmtId="2" fontId="41" fillId="18" borderId="57" xfId="1" applyNumberFormat="1" applyFont="1" applyFill="1" applyBorder="1" applyAlignment="1">
      <alignment vertical="center" wrapText="1"/>
    </xf>
    <xf numFmtId="2" fontId="41" fillId="18" borderId="58" xfId="1" applyNumberFormat="1" applyFont="1" applyFill="1" applyBorder="1" applyAlignment="1">
      <alignment vertical="center" wrapText="1"/>
    </xf>
    <xf numFmtId="0" fontId="41" fillId="0" borderId="0" xfId="1" applyFont="1" applyAlignment="1">
      <alignment horizontal="left" vertical="center" indent="1"/>
    </xf>
    <xf numFmtId="0" fontId="49" fillId="0" borderId="0" xfId="1" applyFont="1" applyAlignment="1">
      <alignment vertical="top"/>
    </xf>
    <xf numFmtId="0" fontId="48" fillId="0" borderId="0" xfId="1" applyFont="1" applyAlignment="1">
      <alignment horizontal="right" vertical="top"/>
    </xf>
    <xf numFmtId="0" fontId="48" fillId="0" borderId="0" xfId="1" applyFont="1" applyAlignment="1">
      <alignment vertical="top"/>
    </xf>
    <xf numFmtId="0" fontId="10" fillId="0" borderId="0" xfId="1" applyFont="1" applyFill="1" applyAlignment="1">
      <alignment horizontal="right" vertical="center"/>
    </xf>
    <xf numFmtId="0" fontId="48" fillId="0" borderId="0" xfId="1" applyNumberFormat="1" applyFont="1" applyFill="1" applyAlignment="1">
      <alignment horizontal="right" vertical="top"/>
    </xf>
    <xf numFmtId="2" fontId="6" fillId="14" borderId="30" xfId="1" applyNumberFormat="1" applyFont="1" applyFill="1" applyBorder="1" applyAlignment="1">
      <alignment horizontal="center" vertical="center" wrapText="1"/>
    </xf>
    <xf numFmtId="49" fontId="42" fillId="0" borderId="20" xfId="1" applyNumberFormat="1" applyFont="1" applyFill="1" applyBorder="1" applyAlignment="1">
      <alignment horizontal="right" vertical="center" wrapText="1"/>
    </xf>
    <xf numFmtId="0" fontId="42" fillId="0" borderId="46" xfId="1" applyFont="1" applyFill="1" applyBorder="1" applyAlignment="1">
      <alignment horizontal="center" vertical="center" wrapText="1"/>
    </xf>
    <xf numFmtId="0" fontId="16" fillId="0" borderId="0" xfId="0" applyNumberFormat="1" applyFont="1" applyAlignment="1">
      <alignment horizontal="left" vertical="center"/>
    </xf>
    <xf numFmtId="0" fontId="19" fillId="0" borderId="0" xfId="1" applyFont="1" applyFill="1" applyBorder="1" applyAlignment="1">
      <alignment vertical="center"/>
    </xf>
    <xf numFmtId="0" fontId="39" fillId="0" borderId="0" xfId="1" applyFont="1" applyAlignment="1">
      <alignment horizontal="right" vertical="top"/>
    </xf>
    <xf numFmtId="0" fontId="22" fillId="0" borderId="0" xfId="0" applyFont="1" applyFill="1" applyAlignment="1">
      <alignment horizontal="center"/>
    </xf>
    <xf numFmtId="0" fontId="39" fillId="0" borderId="0" xfId="0" applyFont="1" applyAlignment="1">
      <alignment vertical="top"/>
    </xf>
    <xf numFmtId="0" fontId="39" fillId="0" borderId="0" xfId="0" applyFont="1" applyAlignment="1">
      <alignment vertical="center"/>
    </xf>
    <xf numFmtId="164" fontId="22" fillId="0" borderId="0" xfId="13" applyFont="1"/>
    <xf numFmtId="0" fontId="22" fillId="0" borderId="0" xfId="0" applyFont="1" applyAlignment="1">
      <alignment horizontal="center"/>
    </xf>
    <xf numFmtId="0" fontId="22" fillId="0" borderId="0" xfId="0" applyFont="1"/>
    <xf numFmtId="0" fontId="22" fillId="0" borderId="0" xfId="0" applyFont="1" applyFill="1"/>
    <xf numFmtId="0" fontId="17" fillId="0" borderId="0" xfId="0" applyFont="1"/>
    <xf numFmtId="0" fontId="22" fillId="0" borderId="0" xfId="0" applyFont="1" applyFill="1" applyAlignment="1">
      <alignment horizontal="left"/>
    </xf>
    <xf numFmtId="0" fontId="41" fillId="0" borderId="0" xfId="1" applyFont="1" applyAlignment="1">
      <alignment vertical="center"/>
    </xf>
    <xf numFmtId="0" fontId="6" fillId="0" borderId="0" xfId="1" applyFont="1"/>
    <xf numFmtId="0" fontId="11" fillId="0" borderId="0" xfId="1" applyFont="1"/>
    <xf numFmtId="0" fontId="60" fillId="0" borderId="0" xfId="1" applyFont="1" applyAlignment="1">
      <alignment vertical="center"/>
    </xf>
    <xf numFmtId="0" fontId="61" fillId="0" borderId="0" xfId="1" applyFont="1"/>
    <xf numFmtId="0" fontId="6" fillId="0" borderId="42" xfId="1" applyFont="1" applyFill="1" applyBorder="1" applyAlignment="1">
      <alignment horizontal="center" vertical="center" wrapText="1"/>
    </xf>
    <xf numFmtId="0" fontId="6" fillId="0" borderId="30" xfId="1" applyFont="1" applyFill="1" applyBorder="1" applyAlignment="1">
      <alignment horizontal="center" vertical="center" wrapText="1"/>
    </xf>
    <xf numFmtId="49" fontId="41" fillId="16" borderId="29" xfId="6" applyNumberFormat="1" applyFont="1" applyFill="1" applyBorder="1" applyAlignment="1">
      <alignment horizontal="center" vertical="center" wrapText="1"/>
    </xf>
    <xf numFmtId="0" fontId="41" fillId="16" borderId="51" xfId="0" applyFont="1" applyFill="1" applyBorder="1" applyAlignment="1">
      <alignment horizontal="center" vertical="center" wrapText="1"/>
    </xf>
    <xf numFmtId="0" fontId="41" fillId="16" borderId="30" xfId="0" applyFont="1" applyFill="1" applyBorder="1" applyAlignment="1">
      <alignment vertical="center" wrapText="1"/>
    </xf>
    <xf numFmtId="166" fontId="41" fillId="16" borderId="30" xfId="0" applyNumberFormat="1" applyFont="1" applyFill="1" applyBorder="1" applyAlignment="1">
      <alignment horizontal="center" vertical="center" wrapText="1"/>
    </xf>
    <xf numFmtId="0" fontId="41" fillId="16" borderId="30" xfId="0" applyFont="1" applyFill="1" applyBorder="1" applyAlignment="1">
      <alignment horizontal="center" vertical="center" wrapText="1"/>
    </xf>
    <xf numFmtId="2" fontId="41" fillId="16" borderId="52" xfId="6" applyNumberFormat="1" applyFont="1" applyFill="1" applyBorder="1" applyAlignment="1">
      <alignment horizontal="center" vertical="center" wrapText="1"/>
    </xf>
    <xf numFmtId="2" fontId="41" fillId="16" borderId="32" xfId="0" applyNumberFormat="1" applyFont="1" applyFill="1" applyBorder="1" applyAlignment="1">
      <alignment horizontal="center" vertical="center" wrapText="1"/>
    </xf>
    <xf numFmtId="2" fontId="41" fillId="16" borderId="30" xfId="0" applyNumberFormat="1" applyFont="1" applyFill="1" applyBorder="1" applyAlignment="1">
      <alignment horizontal="center" vertical="center" wrapText="1"/>
    </xf>
    <xf numFmtId="2" fontId="41" fillId="16" borderId="52" xfId="0" applyNumberFormat="1" applyFont="1" applyFill="1" applyBorder="1" applyAlignment="1">
      <alignment horizontal="center" vertical="center" wrapText="1"/>
    </xf>
    <xf numFmtId="0" fontId="6" fillId="16" borderId="34" xfId="0" applyFont="1" applyFill="1" applyBorder="1" applyAlignment="1">
      <alignment horizontal="center" vertical="center" wrapText="1"/>
    </xf>
    <xf numFmtId="0" fontId="57" fillId="0" borderId="0" xfId="6" applyFont="1" applyAlignment="1">
      <alignment horizontal="left" vertical="center"/>
    </xf>
    <xf numFmtId="0" fontId="51" fillId="0" borderId="0" xfId="6" applyFont="1"/>
    <xf numFmtId="49" fontId="6" fillId="17" borderId="48" xfId="0" applyNumberFormat="1" applyFont="1" applyFill="1" applyBorder="1" applyAlignment="1">
      <alignment horizontal="center" vertical="center" wrapText="1"/>
    </xf>
    <xf numFmtId="0" fontId="6" fillId="0" borderId="45" xfId="0" applyFont="1" applyFill="1" applyBorder="1" applyAlignment="1">
      <alignment horizontal="center" vertical="center" wrapText="1"/>
    </xf>
    <xf numFmtId="0" fontId="6" fillId="17" borderId="20" xfId="0" applyFont="1" applyFill="1" applyBorder="1" applyAlignment="1">
      <alignment horizontal="left" vertical="center" wrapText="1"/>
    </xf>
    <xf numFmtId="2" fontId="6" fillId="14" borderId="48" xfId="0" applyNumberFormat="1" applyFont="1" applyFill="1" applyBorder="1" applyAlignment="1">
      <alignment horizontal="center" vertical="center" wrapText="1"/>
    </xf>
    <xf numFmtId="2" fontId="6" fillId="14" borderId="20" xfId="0" applyNumberFormat="1" applyFont="1" applyFill="1" applyBorder="1" applyAlignment="1">
      <alignment horizontal="center" vertical="center" wrapText="1"/>
    </xf>
    <xf numFmtId="0" fontId="58" fillId="0" borderId="0" xfId="0" applyFont="1" applyAlignment="1">
      <alignment vertical="center"/>
    </xf>
    <xf numFmtId="0" fontId="59" fillId="0" borderId="0" xfId="0" applyFont="1"/>
    <xf numFmtId="0" fontId="6" fillId="0" borderId="20" xfId="6" applyFont="1" applyFill="1" applyBorder="1" applyAlignment="1">
      <alignment horizontal="center" vertical="center" wrapText="1"/>
    </xf>
    <xf numFmtId="0" fontId="6" fillId="17" borderId="20" xfId="6" applyFont="1" applyFill="1" applyBorder="1" applyAlignment="1">
      <alignment horizontal="left" vertical="center" wrapText="1"/>
    </xf>
    <xf numFmtId="0" fontId="6" fillId="0" borderId="46" xfId="6" applyFont="1" applyFill="1" applyBorder="1" applyAlignment="1">
      <alignment horizontal="center" vertical="center" wrapText="1"/>
    </xf>
    <xf numFmtId="2" fontId="6" fillId="0" borderId="47" xfId="6" applyNumberFormat="1" applyFont="1" applyFill="1" applyBorder="1" applyAlignment="1">
      <alignment horizontal="center" vertical="center" wrapText="1"/>
    </xf>
    <xf numFmtId="2" fontId="6" fillId="0" borderId="48" xfId="6" applyNumberFormat="1" applyFont="1" applyFill="1" applyBorder="1" applyAlignment="1">
      <alignment horizontal="center" vertical="center" wrapText="1"/>
    </xf>
    <xf numFmtId="2" fontId="6" fillId="14" borderId="20" xfId="6" applyNumberFormat="1" applyFont="1" applyFill="1" applyBorder="1" applyAlignment="1">
      <alignment horizontal="center" vertical="center" wrapText="1"/>
    </xf>
    <xf numFmtId="2" fontId="6" fillId="0" borderId="48" xfId="6" applyNumberFormat="1" applyFont="1" applyBorder="1" applyAlignment="1">
      <alignment horizontal="center" vertical="center" wrapText="1"/>
    </xf>
    <xf numFmtId="2" fontId="6" fillId="0" borderId="20" xfId="6" applyNumberFormat="1" applyFont="1" applyBorder="1" applyAlignment="1">
      <alignment horizontal="center" vertical="center" wrapText="1"/>
    </xf>
    <xf numFmtId="0" fontId="6" fillId="0" borderId="50" xfId="6" applyFont="1" applyFill="1" applyBorder="1" applyAlignment="1">
      <alignment horizontal="center" vertical="center" wrapText="1"/>
    </xf>
    <xf numFmtId="0" fontId="47" fillId="0" borderId="0" xfId="6" applyFont="1" applyAlignment="1">
      <alignment horizontal="left" vertical="center"/>
    </xf>
    <xf numFmtId="0" fontId="11" fillId="0" borderId="0" xfId="6" applyFont="1"/>
    <xf numFmtId="0" fontId="42" fillId="17" borderId="20" xfId="6" applyFont="1" applyFill="1" applyBorder="1" applyAlignment="1">
      <alignment horizontal="right" vertical="center" wrapText="1"/>
    </xf>
    <xf numFmtId="0" fontId="42" fillId="17" borderId="20" xfId="6" applyFont="1" applyFill="1" applyBorder="1" applyAlignment="1">
      <alignment horizontal="center" vertical="center" wrapText="1"/>
    </xf>
    <xf numFmtId="2" fontId="42" fillId="0" borderId="47" xfId="6" applyNumberFormat="1" applyFont="1" applyFill="1" applyBorder="1" applyAlignment="1">
      <alignment horizontal="center" vertical="center" wrapText="1"/>
    </xf>
    <xf numFmtId="2" fontId="42" fillId="14" borderId="48" xfId="6" applyNumberFormat="1" applyFont="1" applyFill="1" applyBorder="1" applyAlignment="1">
      <alignment horizontal="center" vertical="center" wrapText="1"/>
    </xf>
    <xf numFmtId="2" fontId="42" fillId="0" borderId="20" xfId="6" applyNumberFormat="1" applyFont="1" applyFill="1" applyBorder="1" applyAlignment="1">
      <alignment horizontal="center" vertical="center" wrapText="1"/>
    </xf>
    <xf numFmtId="2" fontId="42" fillId="0" borderId="48" xfId="6" applyNumberFormat="1" applyFont="1" applyFill="1" applyBorder="1" applyAlignment="1">
      <alignment horizontal="center" vertical="center" wrapText="1"/>
    </xf>
    <xf numFmtId="0" fontId="42" fillId="0" borderId="50" xfId="6" applyFont="1" applyFill="1" applyBorder="1" applyAlignment="1">
      <alignment horizontal="center" vertical="center" wrapText="1"/>
    </xf>
    <xf numFmtId="0" fontId="60" fillId="0" borderId="0" xfId="6" applyFont="1" applyAlignment="1">
      <alignment horizontal="left" vertical="center"/>
    </xf>
    <xf numFmtId="0" fontId="61" fillId="0" borderId="0" xfId="6" applyFont="1"/>
    <xf numFmtId="2" fontId="42" fillId="14" borderId="48" xfId="0" applyNumberFormat="1" applyFont="1" applyFill="1" applyBorder="1" applyAlignment="1">
      <alignment horizontal="center" vertical="center" wrapText="1"/>
    </xf>
    <xf numFmtId="2" fontId="42" fillId="0" borderId="20" xfId="0" applyNumberFormat="1" applyFont="1" applyFill="1" applyBorder="1" applyAlignment="1">
      <alignment horizontal="center" vertical="center" wrapText="1"/>
    </xf>
    <xf numFmtId="2" fontId="42" fillId="0" borderId="48" xfId="0" applyNumberFormat="1" applyFont="1" applyFill="1" applyBorder="1" applyAlignment="1">
      <alignment horizontal="center" vertical="center" wrapText="1"/>
    </xf>
    <xf numFmtId="0" fontId="64" fillId="0" borderId="20" xfId="0" applyFont="1" applyFill="1" applyBorder="1" applyAlignment="1">
      <alignment horizontal="center" vertical="center" wrapText="1"/>
    </xf>
    <xf numFmtId="0" fontId="64" fillId="0" borderId="50" xfId="0" applyFont="1" applyFill="1" applyBorder="1" applyAlignment="1">
      <alignment horizontal="center" vertical="center" wrapText="1"/>
    </xf>
    <xf numFmtId="0" fontId="65" fillId="0" borderId="0" xfId="0" applyFont="1" applyAlignment="1">
      <alignment vertical="center"/>
    </xf>
    <xf numFmtId="0" fontId="66" fillId="0" borderId="0" xfId="0" applyFont="1"/>
    <xf numFmtId="0" fontId="67" fillId="17" borderId="20" xfId="0" applyFont="1" applyFill="1" applyBorder="1" applyAlignment="1">
      <alignment horizontal="center" vertical="center" wrapText="1"/>
    </xf>
    <xf numFmtId="0" fontId="67" fillId="0" borderId="50" xfId="0" applyFont="1" applyFill="1" applyBorder="1" applyAlignment="1">
      <alignment horizontal="center" vertical="center" wrapText="1"/>
    </xf>
    <xf numFmtId="0" fontId="68" fillId="0" borderId="0" xfId="0" applyFont="1" applyAlignment="1">
      <alignment vertical="center"/>
    </xf>
    <xf numFmtId="0" fontId="69" fillId="0" borderId="0" xfId="0" applyFont="1"/>
    <xf numFmtId="0" fontId="19" fillId="16" borderId="30" xfId="0" applyFont="1" applyFill="1" applyBorder="1" applyAlignment="1">
      <alignment horizontal="center" vertical="center" wrapText="1"/>
    </xf>
    <xf numFmtId="0" fontId="58" fillId="0" borderId="0" xfId="1" applyFont="1" applyAlignment="1">
      <alignment vertical="center"/>
    </xf>
    <xf numFmtId="0" fontId="61" fillId="0" borderId="0" xfId="1" applyFont="1" applyAlignment="1"/>
    <xf numFmtId="0" fontId="60" fillId="0" borderId="0" xfId="0" applyFont="1" applyAlignment="1">
      <alignment horizontal="left" vertical="center"/>
    </xf>
    <xf numFmtId="0" fontId="61" fillId="0" borderId="0" xfId="0" applyFont="1"/>
    <xf numFmtId="0" fontId="6" fillId="0" borderId="0" xfId="0" applyFont="1" applyFill="1" applyBorder="1" applyAlignment="1">
      <alignment horizontal="center" vertical="center" wrapText="1"/>
    </xf>
    <xf numFmtId="2" fontId="47" fillId="0" borderId="0" xfId="1" applyNumberFormat="1" applyFont="1" applyAlignment="1">
      <alignment vertical="center"/>
    </xf>
    <xf numFmtId="0" fontId="6" fillId="0" borderId="20" xfId="0" applyFont="1" applyFill="1" applyBorder="1" applyAlignment="1">
      <alignment vertical="center" wrapText="1"/>
    </xf>
    <xf numFmtId="2" fontId="42" fillId="14" borderId="43" xfId="0" applyNumberFormat="1" applyFont="1" applyFill="1" applyBorder="1" applyAlignment="1">
      <alignment horizontal="center" vertical="center" wrapText="1"/>
    </xf>
    <xf numFmtId="2" fontId="6" fillId="14" borderId="46" xfId="0" applyNumberFormat="1" applyFont="1" applyFill="1" applyBorder="1" applyAlignment="1">
      <alignment horizontal="center" vertical="center" wrapText="1"/>
    </xf>
    <xf numFmtId="49" fontId="6" fillId="0" borderId="44" xfId="0" applyNumberFormat="1" applyFont="1" applyFill="1" applyBorder="1" applyAlignment="1">
      <alignment vertical="center" wrapText="1"/>
    </xf>
    <xf numFmtId="49" fontId="6" fillId="0" borderId="20" xfId="0" applyNumberFormat="1" applyFont="1" applyFill="1" applyBorder="1" applyAlignment="1">
      <alignment vertical="center" wrapText="1"/>
    </xf>
    <xf numFmtId="0" fontId="62" fillId="0" borderId="0" xfId="1" applyFont="1" applyAlignment="1">
      <alignment vertical="center"/>
    </xf>
    <xf numFmtId="0" fontId="18" fillId="0" borderId="0" xfId="1" applyFont="1"/>
    <xf numFmtId="0" fontId="48" fillId="0" borderId="0" xfId="1" applyFont="1" applyFill="1"/>
    <xf numFmtId="0" fontId="49" fillId="0" borderId="0" xfId="1" applyFont="1" applyFill="1"/>
    <xf numFmtId="0" fontId="6" fillId="0" borderId="0" xfId="1" applyFont="1" applyFill="1"/>
    <xf numFmtId="0" fontId="6" fillId="0" borderId="0" xfId="1" applyFont="1" applyAlignment="1">
      <alignment horizontal="left" vertical="center" indent="1"/>
    </xf>
    <xf numFmtId="49" fontId="6" fillId="0" borderId="0" xfId="1" applyNumberFormat="1" applyFont="1" applyAlignment="1">
      <alignment horizontal="left" vertical="center" indent="1"/>
    </xf>
    <xf numFmtId="4" fontId="6" fillId="0" borderId="0" xfId="1" applyNumberFormat="1" applyFont="1" applyAlignment="1">
      <alignment horizontal="left" vertical="center" indent="1"/>
    </xf>
    <xf numFmtId="49" fontId="6" fillId="0" borderId="0" xfId="1" applyNumberFormat="1" applyFont="1" applyAlignment="1">
      <alignment horizontal="left" vertical="center"/>
    </xf>
    <xf numFmtId="4" fontId="6" fillId="0" borderId="0" xfId="1" applyNumberFormat="1" applyFont="1" applyAlignment="1">
      <alignment horizontal="left" vertical="center"/>
    </xf>
    <xf numFmtId="0" fontId="6" fillId="0" borderId="0" xfId="1" applyFont="1" applyFill="1" applyAlignment="1">
      <alignment horizontal="center"/>
    </xf>
    <xf numFmtId="0" fontId="54" fillId="0" borderId="0" xfId="1" applyFont="1" applyAlignment="1">
      <alignment vertical="center"/>
    </xf>
    <xf numFmtId="0" fontId="10" fillId="0" borderId="0" xfId="1" applyFont="1"/>
    <xf numFmtId="0" fontId="55" fillId="0" borderId="0" xfId="1" applyFont="1" applyAlignment="1">
      <alignment vertical="center"/>
    </xf>
    <xf numFmtId="0" fontId="56" fillId="0" borderId="0" xfId="1" applyFont="1"/>
    <xf numFmtId="0" fontId="57" fillId="0" borderId="0" xfId="1" applyFont="1" applyAlignment="1">
      <alignment vertical="center"/>
    </xf>
    <xf numFmtId="0" fontId="51" fillId="0" borderId="0" xfId="1" applyFont="1"/>
    <xf numFmtId="0" fontId="41" fillId="0" borderId="0" xfId="1" applyFont="1" applyFill="1" applyAlignment="1">
      <alignment vertical="center"/>
    </xf>
    <xf numFmtId="0" fontId="63" fillId="0" borderId="0" xfId="1" applyFont="1" applyAlignment="1">
      <alignment vertical="center"/>
    </xf>
    <xf numFmtId="0" fontId="49" fillId="0" borderId="0" xfId="1" applyFont="1" applyAlignment="1">
      <alignment horizontal="left" vertical="center"/>
    </xf>
    <xf numFmtId="0" fontId="6" fillId="0" borderId="0" xfId="1" applyFont="1" applyAlignment="1"/>
    <xf numFmtId="0" fontId="11" fillId="0" borderId="0" xfId="1" applyFont="1" applyAlignment="1"/>
    <xf numFmtId="0" fontId="59" fillId="0" borderId="0" xfId="1" applyFont="1"/>
    <xf numFmtId="0" fontId="41" fillId="18" borderId="56" xfId="1" applyFont="1" applyFill="1" applyBorder="1" applyAlignment="1">
      <alignment horizontal="right" vertical="center" wrapText="1"/>
    </xf>
    <xf numFmtId="0" fontId="6" fillId="18" borderId="60" xfId="1" applyFont="1" applyFill="1" applyBorder="1" applyAlignment="1">
      <alignment vertical="center" wrapText="1"/>
    </xf>
    <xf numFmtId="0" fontId="71" fillId="0" borderId="0" xfId="1" applyFont="1" applyAlignment="1">
      <alignment vertical="center"/>
    </xf>
    <xf numFmtId="0" fontId="72" fillId="0" borderId="0" xfId="1" applyFont="1"/>
    <xf numFmtId="0" fontId="52" fillId="0" borderId="0" xfId="1" applyFont="1" applyFill="1"/>
    <xf numFmtId="0" fontId="47" fillId="0" borderId="0" xfId="1" quotePrefix="1" applyFont="1" applyBorder="1" applyAlignment="1">
      <alignment vertical="center"/>
    </xf>
    <xf numFmtId="0" fontId="73" fillId="0" borderId="0" xfId="1" applyFont="1" applyBorder="1" applyAlignment="1">
      <alignment horizontal="center" vertical="center" wrapText="1"/>
    </xf>
    <xf numFmtId="0" fontId="41" fillId="0" borderId="0" xfId="1" applyFont="1" applyFill="1" applyBorder="1" applyAlignment="1">
      <alignment horizontal="center" vertical="center" wrapText="1"/>
    </xf>
    <xf numFmtId="0" fontId="41" fillId="0" borderId="0" xfId="1" applyFont="1" applyAlignment="1">
      <alignment horizontal="left" vertical="center"/>
    </xf>
    <xf numFmtId="0" fontId="73" fillId="0" borderId="0" xfId="1" applyFont="1" applyAlignment="1">
      <alignment horizontal="center" vertical="center" wrapText="1"/>
    </xf>
    <xf numFmtId="0" fontId="16" fillId="0" borderId="0" xfId="1" applyFont="1" applyAlignment="1">
      <alignment horizontal="right" vertical="center"/>
    </xf>
    <xf numFmtId="0" fontId="10" fillId="0" borderId="0" xfId="5" applyFont="1" applyFill="1" applyBorder="1" applyAlignment="1">
      <alignment horizontal="center" vertical="center"/>
    </xf>
    <xf numFmtId="0" fontId="53" fillId="0" borderId="0" xfId="1" applyFont="1" applyFill="1" applyAlignment="1">
      <alignment vertical="center"/>
    </xf>
    <xf numFmtId="0" fontId="41" fillId="14" borderId="20" xfId="1" applyFont="1" applyFill="1" applyBorder="1" applyAlignment="1">
      <alignment horizontal="center" vertical="center" wrapText="1"/>
    </xf>
    <xf numFmtId="0" fontId="42" fillId="0" borderId="34" xfId="0" applyFont="1" applyFill="1" applyBorder="1" applyAlignment="1">
      <alignment horizontal="center" vertical="center" wrapText="1"/>
    </xf>
    <xf numFmtId="0" fontId="42" fillId="17" borderId="20" xfId="0" applyFont="1" applyFill="1" applyBorder="1" applyAlignment="1">
      <alignment horizontal="right" vertical="center" wrapText="1"/>
    </xf>
    <xf numFmtId="4" fontId="6" fillId="0" borderId="20" xfId="1" applyNumberFormat="1" applyFont="1" applyFill="1" applyBorder="1" applyAlignment="1">
      <alignment horizontal="center" vertical="center" wrapText="1"/>
    </xf>
    <xf numFmtId="0" fontId="26" fillId="0" borderId="0" xfId="1" applyFont="1" applyAlignment="1"/>
    <xf numFmtId="2" fontId="19" fillId="0" borderId="0" xfId="1" applyNumberFormat="1" applyFont="1" applyFill="1" applyBorder="1" applyAlignment="1">
      <alignment vertical="top"/>
    </xf>
    <xf numFmtId="2" fontId="64" fillId="0" borderId="47" xfId="1" applyNumberFormat="1" applyFont="1" applyFill="1" applyBorder="1" applyAlignment="1">
      <alignment horizontal="center" vertical="center" wrapText="1"/>
    </xf>
    <xf numFmtId="49" fontId="64" fillId="0" borderId="48" xfId="1" applyNumberFormat="1" applyFont="1" applyFill="1" applyBorder="1" applyAlignment="1">
      <alignment horizontal="center" vertical="center" wrapText="1"/>
    </xf>
    <xf numFmtId="0" fontId="64" fillId="0" borderId="45" xfId="1" applyFont="1" applyFill="1" applyBorder="1" applyAlignment="1">
      <alignment horizontal="center" vertical="center" wrapText="1"/>
    </xf>
    <xf numFmtId="0" fontId="64" fillId="0" borderId="20" xfId="1" applyFont="1" applyFill="1" applyBorder="1" applyAlignment="1">
      <alignment horizontal="left" vertical="center" wrapText="1"/>
    </xf>
    <xf numFmtId="0" fontId="64" fillId="0" borderId="20" xfId="1" applyFont="1" applyFill="1" applyBorder="1" applyAlignment="1">
      <alignment horizontal="center" vertical="center" wrapText="1"/>
    </xf>
    <xf numFmtId="0" fontId="64" fillId="0" borderId="46" xfId="1" applyFont="1" applyFill="1" applyBorder="1" applyAlignment="1">
      <alignment horizontal="center" vertical="center" wrapText="1"/>
    </xf>
    <xf numFmtId="2" fontId="64" fillId="0" borderId="54" xfId="7" applyNumberFormat="1" applyFont="1" applyFill="1" applyBorder="1" applyAlignment="1">
      <alignment horizontal="center" vertical="center" wrapText="1"/>
    </xf>
    <xf numFmtId="2" fontId="64" fillId="0" borderId="47" xfId="0" applyNumberFormat="1" applyFont="1" applyFill="1" applyBorder="1" applyAlignment="1">
      <alignment horizontal="center" vertical="center" wrapText="1"/>
    </xf>
    <xf numFmtId="2" fontId="64" fillId="0" borderId="48" xfId="0" applyNumberFormat="1" applyFont="1" applyBorder="1" applyAlignment="1">
      <alignment horizontal="center" vertical="center" wrapText="1"/>
    </xf>
    <xf numFmtId="2" fontId="64" fillId="0" borderId="20" xfId="0" applyNumberFormat="1" applyFont="1" applyBorder="1" applyAlignment="1">
      <alignment horizontal="center" vertical="center" wrapText="1"/>
    </xf>
    <xf numFmtId="0" fontId="64" fillId="0" borderId="49" xfId="6" applyFont="1" applyFill="1" applyBorder="1" applyAlignment="1">
      <alignment horizontal="center" vertical="center" wrapText="1"/>
    </xf>
    <xf numFmtId="0" fontId="65" fillId="0" borderId="0" xfId="1" applyFont="1" applyAlignment="1">
      <alignment vertical="center"/>
    </xf>
    <xf numFmtId="0" fontId="66" fillId="0" borderId="0" xfId="1" applyFont="1"/>
    <xf numFmtId="0" fontId="64" fillId="17" borderId="20" xfId="1" applyFont="1" applyFill="1" applyBorder="1" applyAlignment="1">
      <alignment horizontal="left" vertical="center" wrapText="1"/>
    </xf>
    <xf numFmtId="2" fontId="64" fillId="0" borderId="48" xfId="0" applyNumberFormat="1" applyFont="1" applyFill="1" applyBorder="1" applyAlignment="1">
      <alignment horizontal="center" vertical="center" wrapText="1"/>
    </xf>
    <xf numFmtId="0" fontId="64" fillId="0" borderId="50" xfId="1" applyFont="1" applyFill="1" applyBorder="1" applyAlignment="1">
      <alignment horizontal="center" vertical="center" wrapText="1"/>
    </xf>
    <xf numFmtId="49" fontId="67" fillId="0" borderId="48" xfId="1" applyNumberFormat="1" applyFont="1" applyFill="1" applyBorder="1" applyAlignment="1">
      <alignment horizontal="center" vertical="center" wrapText="1"/>
    </xf>
    <xf numFmtId="0" fontId="67" fillId="0" borderId="20" xfId="1" applyFont="1" applyFill="1" applyBorder="1" applyAlignment="1">
      <alignment horizontal="center" vertical="center" wrapText="1"/>
    </xf>
    <xf numFmtId="0" fontId="67" fillId="17" borderId="20" xfId="1" applyFont="1" applyFill="1" applyBorder="1" applyAlignment="1">
      <alignment horizontal="right" vertical="center" wrapText="1"/>
    </xf>
    <xf numFmtId="0" fontId="67" fillId="17" borderId="20" xfId="1" applyFont="1" applyFill="1" applyBorder="1" applyAlignment="1">
      <alignment horizontal="center" vertical="center" wrapText="1"/>
    </xf>
    <xf numFmtId="2" fontId="67" fillId="0" borderId="47" xfId="1" applyNumberFormat="1" applyFont="1" applyFill="1" applyBorder="1" applyAlignment="1">
      <alignment horizontal="center" vertical="center" wrapText="1"/>
    </xf>
    <xf numFmtId="2" fontId="67" fillId="0" borderId="20" xfId="0" applyNumberFormat="1" applyFont="1" applyFill="1" applyBorder="1" applyAlignment="1">
      <alignment horizontal="center" vertical="center" wrapText="1"/>
    </xf>
    <xf numFmtId="2" fontId="67" fillId="0" borderId="47" xfId="0" applyNumberFormat="1" applyFont="1" applyFill="1" applyBorder="1" applyAlignment="1">
      <alignment horizontal="center" vertical="center" wrapText="1"/>
    </xf>
    <xf numFmtId="2" fontId="67" fillId="0" borderId="48" xfId="0" applyNumberFormat="1" applyFont="1" applyFill="1" applyBorder="1" applyAlignment="1">
      <alignment horizontal="center" vertical="center" wrapText="1"/>
    </xf>
    <xf numFmtId="0" fontId="67" fillId="0" borderId="50" xfId="1" applyFont="1" applyFill="1" applyBorder="1" applyAlignment="1">
      <alignment horizontal="center" vertical="center" wrapText="1"/>
    </xf>
    <xf numFmtId="0" fontId="68" fillId="0" borderId="0" xfId="1" applyFont="1" applyAlignment="1">
      <alignment vertical="center"/>
    </xf>
    <xf numFmtId="0" fontId="69" fillId="0" borderId="0" xfId="1" applyFont="1"/>
    <xf numFmtId="0" fontId="64" fillId="16" borderId="34" xfId="1" applyFont="1" applyFill="1" applyBorder="1" applyAlignment="1">
      <alignment horizontal="center" vertical="center" wrapText="1"/>
    </xf>
    <xf numFmtId="2" fontId="64" fillId="0" borderId="61" xfId="0" applyNumberFormat="1" applyFont="1" applyFill="1" applyBorder="1" applyAlignment="1">
      <alignment horizontal="center" vertical="center" wrapText="1"/>
    </xf>
    <xf numFmtId="2" fontId="64" fillId="0" borderId="54" xfId="0" applyNumberFormat="1" applyFont="1" applyFill="1" applyBorder="1" applyAlignment="1">
      <alignment horizontal="center" vertical="center" wrapText="1"/>
    </xf>
    <xf numFmtId="2" fontId="64" fillId="0" borderId="47" xfId="6" applyNumberFormat="1" applyFont="1" applyFill="1" applyBorder="1" applyAlignment="1">
      <alignment horizontal="center" vertical="center" wrapText="1"/>
    </xf>
    <xf numFmtId="2" fontId="64" fillId="17" borderId="48" xfId="6" applyNumberFormat="1" applyFont="1" applyFill="1" applyBorder="1" applyAlignment="1">
      <alignment horizontal="center" vertical="center" wrapText="1"/>
    </xf>
    <xf numFmtId="2" fontId="64" fillId="0" borderId="20" xfId="6" applyNumberFormat="1" applyFont="1" applyBorder="1" applyAlignment="1">
      <alignment horizontal="center" vertical="center" wrapText="1"/>
    </xf>
    <xf numFmtId="0" fontId="64" fillId="0" borderId="49" xfId="1" applyFont="1" applyFill="1" applyBorder="1" applyAlignment="1">
      <alignment horizontal="center" vertical="center" wrapText="1"/>
    </xf>
    <xf numFmtId="0" fontId="41" fillId="0" borderId="0" xfId="1" applyFont="1" applyAlignment="1">
      <alignment horizontal="left" vertical="top" wrapText="1"/>
    </xf>
    <xf numFmtId="0" fontId="48" fillId="0" borderId="0" xfId="1" applyFont="1" applyAlignment="1">
      <alignment horizontal="left" vertical="top" wrapText="1" indent="1"/>
    </xf>
    <xf numFmtId="0" fontId="48" fillId="0" borderId="0" xfId="1" applyFont="1" applyFill="1" applyBorder="1" applyAlignment="1">
      <alignment horizontal="left" vertical="top" wrapText="1" indent="1"/>
    </xf>
    <xf numFmtId="0" fontId="6" fillId="0" borderId="0" xfId="1" applyFont="1" applyFill="1" applyBorder="1" applyAlignment="1">
      <alignment horizontal="left" vertical="top" wrapText="1"/>
    </xf>
    <xf numFmtId="0" fontId="41" fillId="0" borderId="0" xfId="1" applyFont="1" applyFill="1" applyBorder="1" applyAlignment="1">
      <alignment horizontal="left" vertical="top" wrapText="1" indent="1"/>
    </xf>
    <xf numFmtId="49" fontId="4" fillId="0" borderId="0" xfId="9" quotePrefix="1" applyNumberFormat="1" applyFont="1" applyFill="1" applyBorder="1" applyAlignment="1">
      <alignment horizontal="left" vertical="top" wrapText="1"/>
    </xf>
    <xf numFmtId="0" fontId="6" fillId="0" borderId="0" xfId="1" quotePrefix="1" applyFont="1" applyAlignment="1">
      <alignment horizontal="left" vertical="top" wrapText="1"/>
    </xf>
    <xf numFmtId="0" fontId="6" fillId="0" borderId="0" xfId="1" applyFont="1" applyAlignment="1">
      <alignment horizontal="left" vertical="top" wrapText="1"/>
    </xf>
    <xf numFmtId="0" fontId="41" fillId="0" borderId="0" xfId="1" quotePrefix="1" applyFont="1" applyAlignment="1">
      <alignment horizontal="left" vertical="top" wrapText="1"/>
    </xf>
    <xf numFmtId="0" fontId="48" fillId="0" borderId="0" xfId="1" applyFont="1" applyAlignment="1">
      <alignment horizontal="left" wrapText="1" indent="1"/>
    </xf>
    <xf numFmtId="0" fontId="41" fillId="19" borderId="43" xfId="1" applyFont="1" applyFill="1" applyBorder="1" applyAlignment="1">
      <alignment horizontal="left" vertical="center" wrapText="1"/>
    </xf>
    <xf numFmtId="0" fontId="41" fillId="19" borderId="44" xfId="1" applyFont="1" applyFill="1" applyBorder="1" applyAlignment="1">
      <alignment horizontal="left" vertical="center" wrapText="1"/>
    </xf>
    <xf numFmtId="0" fontId="41" fillId="19" borderId="45" xfId="1" applyFont="1" applyFill="1" applyBorder="1" applyAlignment="1">
      <alignment horizontal="left" vertical="center" wrapText="1"/>
    </xf>
    <xf numFmtId="0" fontId="6" fillId="0" borderId="55" xfId="1" applyFont="1" applyFill="1" applyBorder="1" applyAlignment="1">
      <alignment horizontal="center" vertical="center" wrapText="1"/>
    </xf>
    <xf numFmtId="0" fontId="6" fillId="0" borderId="42" xfId="1" applyFont="1" applyFill="1" applyBorder="1" applyAlignment="1">
      <alignment horizontal="center" vertical="center" wrapText="1"/>
    </xf>
    <xf numFmtId="0" fontId="6" fillId="0" borderId="35" xfId="1" applyFont="1" applyFill="1" applyBorder="1" applyAlignment="1">
      <alignment horizontal="center" vertical="center" wrapText="1"/>
    </xf>
    <xf numFmtId="0" fontId="16" fillId="0" borderId="0" xfId="1" applyFont="1" applyAlignment="1">
      <alignment horizontal="left" vertical="top" wrapText="1" indent="1"/>
    </xf>
    <xf numFmtId="0" fontId="20" fillId="0" borderId="0" xfId="1" applyFont="1" applyFill="1" applyAlignment="1">
      <alignment horizontal="left" vertical="top" wrapText="1" indent="1"/>
    </xf>
    <xf numFmtId="49" fontId="44" fillId="0" borderId="0" xfId="4" applyNumberFormat="1" applyFont="1" applyFill="1" applyBorder="1" applyAlignment="1" applyProtection="1">
      <alignment horizontal="center" vertical="center" wrapText="1"/>
    </xf>
    <xf numFmtId="0" fontId="44" fillId="0" borderId="0" xfId="1" applyFont="1" applyFill="1" applyBorder="1" applyAlignment="1">
      <alignment horizontal="center" vertical="center" wrapText="1"/>
    </xf>
    <xf numFmtId="0" fontId="44" fillId="0" borderId="0" xfId="1" applyFont="1" applyBorder="1" applyAlignment="1">
      <alignment horizontal="center" vertical="center" wrapText="1"/>
    </xf>
    <xf numFmtId="0" fontId="6" fillId="0" borderId="22" xfId="1" applyFont="1" applyFill="1" applyBorder="1" applyAlignment="1">
      <alignment horizontal="center" vertical="center" wrapText="1"/>
    </xf>
    <xf numFmtId="0" fontId="6" fillId="0" borderId="29" xfId="1" applyFont="1" applyFill="1" applyBorder="1" applyAlignment="1">
      <alignment horizontal="center" vertical="center" wrapText="1"/>
    </xf>
    <xf numFmtId="0" fontId="6" fillId="0" borderId="23" xfId="1" applyFont="1" applyFill="1" applyBorder="1" applyAlignment="1">
      <alignment horizontal="center" vertical="center" wrapText="1"/>
    </xf>
    <xf numFmtId="0" fontId="6" fillId="0" borderId="30"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31" xfId="1" applyFont="1" applyFill="1" applyBorder="1" applyAlignment="1">
      <alignment horizontal="center" vertical="center" wrapText="1"/>
    </xf>
    <xf numFmtId="0" fontId="6" fillId="0" borderId="25" xfId="1" applyFont="1" applyFill="1" applyBorder="1" applyAlignment="1">
      <alignment horizontal="center" vertical="center" wrapText="1"/>
    </xf>
    <xf numFmtId="0" fontId="6" fillId="0" borderId="26" xfId="1" applyFont="1" applyFill="1" applyBorder="1" applyAlignment="1">
      <alignment horizontal="center" vertical="center" wrapText="1"/>
    </xf>
    <xf numFmtId="0" fontId="6" fillId="0" borderId="27" xfId="1" applyFont="1" applyFill="1" applyBorder="1" applyAlignment="1">
      <alignment horizontal="center" vertical="center" wrapText="1"/>
    </xf>
    <xf numFmtId="0" fontId="6" fillId="0" borderId="28" xfId="1" applyFont="1" applyFill="1" applyBorder="1" applyAlignment="1">
      <alignment horizontal="center" vertical="center" wrapText="1"/>
    </xf>
    <xf numFmtId="0" fontId="41" fillId="15" borderId="43" xfId="1" applyFont="1" applyFill="1" applyBorder="1" applyAlignment="1">
      <alignment horizontal="left" vertical="center" wrapText="1"/>
    </xf>
    <xf numFmtId="0" fontId="41" fillId="15" borderId="44" xfId="1" applyFont="1" applyFill="1" applyBorder="1" applyAlignment="1">
      <alignment horizontal="left" vertical="center" wrapText="1"/>
    </xf>
    <xf numFmtId="0" fontId="41" fillId="15" borderId="45" xfId="1" applyFont="1" applyFill="1" applyBorder="1" applyAlignment="1">
      <alignment horizontal="left" vertical="center" wrapText="1"/>
    </xf>
  </cellXfs>
  <cellStyles count="17">
    <cellStyle name="Денежный 2" xfId="4"/>
    <cellStyle name="Обычный" xfId="0" builtinId="0"/>
    <cellStyle name="Обычный 12 6" xfId="2"/>
    <cellStyle name="Обычный 2" xfId="1"/>
    <cellStyle name="Обычный 2 2" xfId="11"/>
    <cellStyle name="Обычный 2 2 47" xfId="7"/>
    <cellStyle name="Обычный 22 2" xfId="6"/>
    <cellStyle name="Обычный 3" xfId="9"/>
    <cellStyle name="Обычный 3 2" xfId="12"/>
    <cellStyle name="Обычный 4" xfId="10"/>
    <cellStyle name="Обычный 5" xfId="14"/>
    <cellStyle name="Обычный 6" xfId="15"/>
    <cellStyle name="Обычный 7" xfId="16"/>
    <cellStyle name="Обычный_ПОЛЫ 1" xfId="5"/>
    <cellStyle name="Финансовый 11" xfId="3"/>
    <cellStyle name="Финансовый 2" xfId="8"/>
    <cellStyle name="Финансовый 2 2" xfId="13"/>
  </cellStyles>
  <dxfs count="48">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numFmt numFmtId="0" formatCode="General"/>
    </dxf>
    <dxf>
      <font>
        <b val="0"/>
        <i val="0"/>
        <strike val="0"/>
        <condense val="0"/>
        <extend val="0"/>
        <outline val="0"/>
        <shadow val="0"/>
        <u val="none"/>
        <vertAlign val="baseline"/>
        <sz val="12"/>
        <color auto="1"/>
        <name val="Times New Roman"/>
        <scheme val="none"/>
      </font>
    </dxf>
    <dxf>
      <font>
        <b val="0"/>
        <i val="0"/>
        <strike val="0"/>
        <condense val="0"/>
        <extend val="0"/>
        <outline val="0"/>
        <shadow val="0"/>
        <u val="none"/>
        <vertAlign val="baseline"/>
        <sz val="12"/>
        <color auto="1"/>
        <name val="Times New Roman"/>
        <scheme val="none"/>
      </font>
      <numFmt numFmtId="0" formatCode="General"/>
    </dxf>
    <dxf>
      <font>
        <b val="0"/>
        <i val="0"/>
        <strike val="0"/>
        <condense val="0"/>
        <extend val="0"/>
        <outline val="0"/>
        <shadow val="0"/>
        <u val="none"/>
        <vertAlign val="baseline"/>
        <sz val="12"/>
        <color auto="1"/>
        <name val="Times New Roman"/>
        <scheme val="none"/>
      </font>
    </dxf>
    <dxf>
      <font>
        <b val="0"/>
        <i val="0"/>
        <strike val="0"/>
        <condense val="0"/>
        <extend val="0"/>
        <outline val="0"/>
        <shadow val="0"/>
        <u val="none"/>
        <vertAlign val="baseline"/>
        <sz val="12"/>
        <color auto="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numFmt numFmtId="0" formatCode="General"/>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numFmt numFmtId="0" formatCode="General"/>
    </dxf>
    <dxf>
      <font>
        <b val="0"/>
        <i val="0"/>
        <strike val="0"/>
        <condense val="0"/>
        <extend val="0"/>
        <outline val="0"/>
        <shadow val="0"/>
        <u val="none"/>
        <vertAlign val="baseline"/>
        <sz val="12"/>
        <color theme="1"/>
        <name val="Times New Roman"/>
        <scheme val="none"/>
      </font>
    </dxf>
    <dxf>
      <numFmt numFmtId="0" formatCode="General"/>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0"/>
        <color theme="1"/>
        <name val="Times New Roman"/>
        <scheme val="none"/>
      </font>
      <alignment horizontal="center" vertical="top" textRotation="0" wrapText="1" indent="0" justifyLastLine="0" shrinkToFit="0" readingOrder="0"/>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numFmt numFmtId="0" formatCode="General"/>
    </dxf>
    <dxf>
      <font>
        <b val="0"/>
        <i val="0"/>
        <strike val="0"/>
        <condense val="0"/>
        <extend val="0"/>
        <outline val="0"/>
        <shadow val="0"/>
        <u val="none"/>
        <vertAlign val="baseline"/>
        <sz val="12"/>
        <color auto="1"/>
        <name val="Times New Roman"/>
        <scheme val="none"/>
      </font>
    </dxf>
    <dxf>
      <font>
        <b val="0"/>
        <i val="0"/>
        <strike val="0"/>
        <condense val="0"/>
        <extend val="0"/>
        <outline val="0"/>
        <shadow val="0"/>
        <u val="none"/>
        <vertAlign val="baseline"/>
        <sz val="12"/>
        <color auto="1"/>
        <name val="Times New Roman"/>
        <scheme val="none"/>
      </font>
      <numFmt numFmtId="0" formatCode="General"/>
    </dxf>
    <dxf>
      <font>
        <b val="0"/>
        <i val="0"/>
        <strike val="0"/>
        <condense val="0"/>
        <extend val="0"/>
        <outline val="0"/>
        <shadow val="0"/>
        <u val="none"/>
        <vertAlign val="baseline"/>
        <sz val="12"/>
        <color auto="1"/>
        <name val="Times New Roman"/>
        <scheme val="none"/>
      </font>
    </dxf>
    <dxf>
      <font>
        <b val="0"/>
        <i val="0"/>
        <strike val="0"/>
        <condense val="0"/>
        <extend val="0"/>
        <outline val="0"/>
        <shadow val="0"/>
        <u val="none"/>
        <vertAlign val="baseline"/>
        <sz val="12"/>
        <color auto="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numFmt numFmtId="0" formatCode="General"/>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numFmt numFmtId="0" formatCode="General"/>
    </dxf>
    <dxf>
      <font>
        <b val="0"/>
        <i val="0"/>
        <strike val="0"/>
        <condense val="0"/>
        <extend val="0"/>
        <outline val="0"/>
        <shadow val="0"/>
        <u val="none"/>
        <vertAlign val="baseline"/>
        <sz val="12"/>
        <color theme="1"/>
        <name val="Times New Roman"/>
        <scheme val="none"/>
      </font>
    </dxf>
    <dxf>
      <numFmt numFmtId="0" formatCode="General"/>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2"/>
        <color theme="1"/>
        <name val="Times New Roman"/>
        <scheme val="none"/>
      </font>
    </dxf>
    <dxf>
      <font>
        <b val="0"/>
        <i val="0"/>
        <strike val="0"/>
        <condense val="0"/>
        <extend val="0"/>
        <outline val="0"/>
        <shadow val="0"/>
        <u val="none"/>
        <vertAlign val="baseline"/>
        <sz val="10"/>
        <color theme="1"/>
        <name val="Times New Roman"/>
        <scheme val="none"/>
      </font>
      <alignment horizontal="center" vertical="top" textRotation="0" wrapText="1" indent="0" justifyLastLine="0" shrinkToFit="0" readingOrder="0"/>
    </dxf>
  </dxfs>
  <tableStyles count="0" defaultTableStyle="TableStyleMedium2" defaultPivotStyle="PivotStyleLight16"/>
  <colors>
    <mruColors>
      <color rgb="FFCC00FF"/>
      <color rgb="FFFF66CC"/>
      <color rgb="FFCC66FF"/>
      <color rgb="FFFFFFCC"/>
      <color rgb="FFCC99FF"/>
      <color rgb="FF99FFCC"/>
      <color rgb="FFFFCCFF"/>
      <color rgb="FFCCCC00"/>
      <color rgb="FF39E7D2"/>
      <color rgb="FF00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544285</xdr:colOff>
      <xdr:row>170</xdr:row>
      <xdr:rowOff>95250</xdr:rowOff>
    </xdr:from>
    <xdr:to>
      <xdr:col>2</xdr:col>
      <xdr:colOff>5347608</xdr:colOff>
      <xdr:row>178</xdr:row>
      <xdr:rowOff>0</xdr:rowOff>
    </xdr:to>
    <xdr:sp macro="" textlink="">
      <xdr:nvSpPr>
        <xdr:cNvPr id="2" name="TextBox 1">
          <a:extLst/>
        </xdr:cNvPr>
        <xdr:cNvSpPr txBox="1">
          <a:spLocks noChangeArrowheads="1"/>
        </xdr:cNvSpPr>
      </xdr:nvSpPr>
      <xdr:spPr bwMode="auto">
        <a:xfrm>
          <a:off x="544285" y="76240821"/>
          <a:ext cx="6368144" cy="2013858"/>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200"/>
            </a:lnSpc>
            <a:defRPr sz="1000"/>
          </a:pPr>
          <a:r>
            <a:rPr lang="ru-RU" sz="1300" b="0" i="0" strike="noStrike">
              <a:solidFill>
                <a:srgbClr val="000000"/>
              </a:solidFill>
              <a:latin typeface="Times New Roman"/>
              <a:cs typeface="Times New Roman"/>
            </a:rPr>
            <a:t>Руководитель организации:</a:t>
          </a:r>
        </a:p>
        <a:p>
          <a:pPr algn="l" rtl="0">
            <a:lnSpc>
              <a:spcPts val="1200"/>
            </a:lnSpc>
            <a:defRPr sz="1000"/>
          </a:pPr>
          <a:endParaRPr lang="ru-RU" sz="1200" b="0" i="0" strike="noStrike">
            <a:solidFill>
              <a:srgbClr val="000000"/>
            </a:solidFill>
            <a:latin typeface="Times New Roman"/>
            <a:cs typeface="Times New Roman"/>
          </a:endParaRPr>
        </a:p>
        <a:p>
          <a:pPr algn="l" rtl="0">
            <a:lnSpc>
              <a:spcPts val="1200"/>
            </a:lnSpc>
            <a:defRPr sz="1000"/>
          </a:pPr>
          <a:r>
            <a:rPr lang="ru-RU" sz="1300" b="0" i="0" strike="noStrike">
              <a:solidFill>
                <a:srgbClr val="000000"/>
              </a:solidFill>
              <a:latin typeface="Times New Roman"/>
              <a:cs typeface="Times New Roman"/>
            </a:rPr>
            <a:t>______________________       _________________   / ________________________ /</a:t>
          </a:r>
        </a:p>
        <a:p>
          <a:pPr algn="l" rtl="0">
            <a:lnSpc>
              <a:spcPts val="1200"/>
            </a:lnSpc>
            <a:defRPr sz="1000"/>
          </a:pP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должность</a:t>
          </a: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подпись                                     расшифровка</a:t>
          </a:r>
        </a:p>
        <a:p>
          <a:pPr algn="l" rtl="0">
            <a:lnSpc>
              <a:spcPts val="1200"/>
            </a:lnSpc>
            <a:defRPr sz="1000"/>
          </a:pPr>
          <a:r>
            <a:rPr lang="ru-RU" sz="1200" b="0" i="0" strike="noStrike">
              <a:solidFill>
                <a:srgbClr val="000000"/>
              </a:solidFill>
              <a:latin typeface="Times New Roman"/>
              <a:cs typeface="Times New Roman"/>
            </a:rPr>
            <a:t>		М.П.</a:t>
          </a:r>
        </a:p>
        <a:p>
          <a:pPr algn="l" rtl="0">
            <a:lnSpc>
              <a:spcPts val="1200"/>
            </a:lnSpc>
            <a:defRPr sz="1000"/>
          </a:pPr>
          <a:endParaRPr lang="ru-RU" sz="1200" b="0" i="0" strike="noStrike">
            <a:solidFill>
              <a:srgbClr val="000000"/>
            </a:solidFill>
            <a:latin typeface="Times New Roman"/>
            <a:cs typeface="Times New Roman"/>
          </a:endParaRPr>
        </a:p>
        <a:p>
          <a:pPr algn="l" rtl="0">
            <a:lnSpc>
              <a:spcPts val="1200"/>
            </a:lnSpc>
            <a:defRPr sz="1000"/>
          </a:pPr>
          <a:endParaRPr lang="ru-RU" sz="1200" b="0" i="0" strike="noStrike">
            <a:solidFill>
              <a:srgbClr val="000000"/>
            </a:solidFill>
            <a:latin typeface="Times New Roman"/>
            <a:cs typeface="Times New Roman"/>
          </a:endParaRPr>
        </a:p>
        <a:p>
          <a:pPr algn="l" rtl="0">
            <a:lnSpc>
              <a:spcPts val="1200"/>
            </a:lnSpc>
            <a:defRPr sz="1000"/>
          </a:pPr>
          <a:r>
            <a:rPr lang="ru-RU" sz="1300" b="0" i="0" strike="noStrike">
              <a:solidFill>
                <a:srgbClr val="000000"/>
              </a:solidFill>
              <a:latin typeface="Times New Roman"/>
              <a:cs typeface="Times New Roman"/>
            </a:rPr>
            <a:t>Исполнитель:</a:t>
          </a:r>
        </a:p>
        <a:p>
          <a:pPr algn="l" rtl="0">
            <a:lnSpc>
              <a:spcPts val="1200"/>
            </a:lnSpc>
            <a:defRPr sz="1000"/>
          </a:pPr>
          <a:endParaRPr lang="ru-RU" sz="1200" b="0" i="0" strike="noStrike">
            <a:solidFill>
              <a:srgbClr val="000000"/>
            </a:solidFill>
            <a:latin typeface="Times New Roman" pitchFamily="18" charset="0"/>
            <a:cs typeface="Times New Roman" pitchFamily="18" charset="0"/>
          </a:endParaRPr>
        </a:p>
        <a:p>
          <a:pPr rtl="0">
            <a:lnSpc>
              <a:spcPts val="1400"/>
            </a:lnSpc>
          </a:pPr>
          <a:r>
            <a:rPr lang="ru-RU" sz="1300" b="0" i="0">
              <a:effectLst/>
              <a:latin typeface="Times New Roman" pitchFamily="18" charset="0"/>
              <a:ea typeface="+mn-ea"/>
              <a:cs typeface="Times New Roman" pitchFamily="18" charset="0"/>
            </a:rPr>
            <a:t>______________________       / ________________  /          ___________________</a:t>
          </a:r>
          <a:endParaRPr lang="ru-RU" sz="1300">
            <a:effectLst/>
            <a:latin typeface="Times New Roman" pitchFamily="18" charset="0"/>
            <a:cs typeface="Times New Roman" pitchFamily="18" charset="0"/>
          </a:endParaRPr>
        </a:p>
        <a:p>
          <a:pPr rtl="0">
            <a:lnSpc>
              <a:spcPts val="1200"/>
            </a:lnSpc>
          </a:pPr>
          <a:r>
            <a:rPr lang="ru-RU" sz="1200" b="0" i="0">
              <a:effectLst/>
              <a:latin typeface="Times New Roman" pitchFamily="18" charset="0"/>
              <a:ea typeface="+mn-ea"/>
              <a:cs typeface="Times New Roman" pitchFamily="18" charset="0"/>
            </a:rPr>
            <a:t>             </a:t>
          </a:r>
          <a:r>
            <a:rPr lang="ru-RU" sz="1050" b="0" i="0">
              <a:effectLst/>
              <a:latin typeface="Times New Roman" pitchFamily="18" charset="0"/>
              <a:ea typeface="+mn-ea"/>
              <a:cs typeface="Times New Roman" pitchFamily="18" charset="0"/>
            </a:rPr>
            <a:t>должность                                         расшифровка                                        конт. тел.</a:t>
          </a:r>
          <a:endParaRPr lang="ru-RU" sz="1050">
            <a:effectLst/>
            <a:latin typeface="Times New Roman" pitchFamily="18" charset="0"/>
            <a:cs typeface="Times New Roman" pitchFamily="18" charset="0"/>
          </a:endParaRPr>
        </a:p>
      </xdr:txBody>
    </xdr:sp>
    <xdr:clientData/>
  </xdr:twoCellAnchor>
</xdr:wsDr>
</file>

<file path=xl/tables/table1.xml><?xml version="1.0" encoding="utf-8"?>
<table xmlns="http://schemas.openxmlformats.org/spreadsheetml/2006/main" id="1" name="Таблица1" displayName="Таблица1" ref="A2:L62" totalsRowCount="1" headerRowDxfId="47" dataDxfId="46">
  <autoFilter ref="A2:L61"/>
  <tableColumns count="12">
    <tableColumn id="1" name="Корпус" totalsRowDxfId="45"/>
    <tableColumn id="9" name="Зона" dataDxfId="44" totalsRowDxfId="43"/>
    <tableColumn id="2" name="Тип" dataDxfId="42" totalsRowDxfId="41"/>
    <tableColumn id="7" name="Тип покрытия" dataDxfId="40" totalsRowDxfId="39"/>
    <tableColumn id="3" name="Тип благоустройства" totalsRowDxfId="38"/>
    <tableColumn id="11" name="Длина, м" dataDxfId="37" totalsRowDxfId="36"/>
    <tableColumn id="10" name="Высота, м" dataDxfId="35" totalsRowDxfId="34"/>
    <tableColumn id="4" name="Площадь, м2" dataDxfId="33" totalsRowDxfId="32"/>
    <tableColumn id="5" name="Надстройки, м2" dataDxfId="31" totalsRowDxfId="30"/>
    <tableColumn id="6" name="Итого, м2" dataDxfId="29" totalsRowDxfId="28">
      <calculatedColumnFormula>H3-I3</calculatedColumnFormula>
    </tableColumn>
    <tableColumn id="12" name="Объем, м3" dataDxfId="27" totalsRowDxfId="26"/>
    <tableColumn id="8" name="Примечание" dataDxfId="25" totalsRowDxfId="24"/>
  </tableColumns>
  <tableStyleInfo name="TableStyleLight13" showFirstColumn="0" showLastColumn="0" showRowStripes="1" showColumnStripes="0"/>
</table>
</file>

<file path=xl/tables/table2.xml><?xml version="1.0" encoding="utf-8"?>
<table xmlns="http://schemas.openxmlformats.org/spreadsheetml/2006/main" id="3" name="Таблица14" displayName="Таблица14" ref="N2:Y61" totalsRowCount="1" headerRowDxfId="23" dataDxfId="22">
  <autoFilter ref="N2:Y60"/>
  <tableColumns count="12">
    <tableColumn id="1" name="Корпус" totalsRowDxfId="21"/>
    <tableColumn id="9" name="Зона" dataDxfId="20" totalsRowDxfId="19"/>
    <tableColumn id="2" name="Тип" dataDxfId="18" totalsRowDxfId="17"/>
    <tableColumn id="7" name="Тип покрытия" dataDxfId="16" totalsRowDxfId="15"/>
    <tableColumn id="3" name="Тип благоустройства" totalsRowDxfId="14"/>
    <tableColumn id="11" name="Длина, м" dataDxfId="13" totalsRowDxfId="12"/>
    <tableColumn id="10" name="Высота, м" dataDxfId="11" totalsRowDxfId="10"/>
    <tableColumn id="4" name="Площадь, м2" dataDxfId="9" totalsRowDxfId="8"/>
    <tableColumn id="5" name="Надстройки, м2" dataDxfId="7" totalsRowDxfId="6"/>
    <tableColumn id="6" name="Итого, м2" dataDxfId="5" totalsRowDxfId="4">
      <calculatedColumnFormula>U3-V3</calculatedColumnFormula>
    </tableColumn>
    <tableColumn id="12" name="Объем, м3" dataDxfId="3" totalsRowDxfId="2"/>
    <tableColumn id="8" name="Примечание" dataDxfId="1" totalsRowDxfId="0"/>
  </tableColumns>
  <tableStyleInfo name="TableStyleLight13" showFirstColumn="0" showLastColumn="0" showRowStripes="1" showColumnStripes="0"/>
</table>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N179"/>
  <sheetViews>
    <sheetView tabSelected="1" view="pageBreakPreview" topLeftCell="A145" zoomScale="70" zoomScaleNormal="70" zoomScaleSheetLayoutView="70" workbookViewId="0">
      <selection activeCell="B159" sqref="B159:N159"/>
    </sheetView>
  </sheetViews>
  <sheetFormatPr defaultColWidth="11.5703125" defaultRowHeight="15.75" outlineLevelRow="1" x14ac:dyDescent="0.25"/>
  <cols>
    <col min="1" max="1" width="8.85546875" style="148" customWidth="1"/>
    <col min="2" max="2" width="14.7109375" style="155" customWidth="1"/>
    <col min="3" max="3" width="84" style="156" customWidth="1"/>
    <col min="4" max="4" width="11.42578125" style="157" customWidth="1"/>
    <col min="5" max="5" width="14" style="158" customWidth="1"/>
    <col min="6" max="6" width="12.28515625" style="151" customWidth="1"/>
    <col min="7" max="7" width="11.85546875" style="152" customWidth="1"/>
    <col min="8" max="9" width="14.5703125" style="153" customWidth="1"/>
    <col min="10" max="10" width="13.42578125" style="153" customWidth="1"/>
    <col min="11" max="11" width="16" style="150" customWidth="1"/>
    <col min="12" max="12" width="16.140625" style="153" customWidth="1"/>
    <col min="13" max="13" width="18.28515625" style="153" bestFit="1" customWidth="1"/>
    <col min="14" max="14" width="63.42578125" style="153" customWidth="1"/>
    <col min="15" max="15" width="18.7109375" style="159" customWidth="1"/>
    <col min="16" max="16" width="15.28515625" style="153" customWidth="1"/>
    <col min="17" max="17" width="16" style="153" customWidth="1"/>
    <col min="18" max="18" width="19.85546875" style="153" customWidth="1"/>
    <col min="19" max="256" width="11.5703125" style="153"/>
    <col min="257" max="257" width="8.85546875" style="153" customWidth="1"/>
    <col min="258" max="258" width="14.7109375" style="153" customWidth="1"/>
    <col min="259" max="259" width="84" style="153" customWidth="1"/>
    <col min="260" max="260" width="11.42578125" style="153" customWidth="1"/>
    <col min="261" max="261" width="14" style="153" customWidth="1"/>
    <col min="262" max="262" width="12.28515625" style="153" customWidth="1"/>
    <col min="263" max="263" width="11.85546875" style="153" customWidth="1"/>
    <col min="264" max="265" width="14.5703125" style="153" customWidth="1"/>
    <col min="266" max="266" width="13.42578125" style="153" customWidth="1"/>
    <col min="267" max="267" width="16" style="153" customWidth="1"/>
    <col min="268" max="268" width="16.140625" style="153" customWidth="1"/>
    <col min="269" max="269" width="18.28515625" style="153" bestFit="1" customWidth="1"/>
    <col min="270" max="270" width="63.42578125" style="153" customWidth="1"/>
    <col min="271" max="271" width="18.7109375" style="153" customWidth="1"/>
    <col min="272" max="272" width="15.28515625" style="153" customWidth="1"/>
    <col min="273" max="273" width="16" style="153" customWidth="1"/>
    <col min="274" max="274" width="19.85546875" style="153" customWidth="1"/>
    <col min="275" max="512" width="11.5703125" style="153"/>
    <col min="513" max="513" width="8.85546875" style="153" customWidth="1"/>
    <col min="514" max="514" width="14.7109375" style="153" customWidth="1"/>
    <col min="515" max="515" width="84" style="153" customWidth="1"/>
    <col min="516" max="516" width="11.42578125" style="153" customWidth="1"/>
    <col min="517" max="517" width="14" style="153" customWidth="1"/>
    <col min="518" max="518" width="12.28515625" style="153" customWidth="1"/>
    <col min="519" max="519" width="11.85546875" style="153" customWidth="1"/>
    <col min="520" max="521" width="14.5703125" style="153" customWidth="1"/>
    <col min="522" max="522" width="13.42578125" style="153" customWidth="1"/>
    <col min="523" max="523" width="16" style="153" customWidth="1"/>
    <col min="524" max="524" width="16.140625" style="153" customWidth="1"/>
    <col min="525" max="525" width="18.28515625" style="153" bestFit="1" customWidth="1"/>
    <col min="526" max="526" width="63.42578125" style="153" customWidth="1"/>
    <col min="527" max="527" width="18.7109375" style="153" customWidth="1"/>
    <col min="528" max="528" width="15.28515625" style="153" customWidth="1"/>
    <col min="529" max="529" width="16" style="153" customWidth="1"/>
    <col min="530" max="530" width="19.85546875" style="153" customWidth="1"/>
    <col min="531" max="768" width="11.5703125" style="153"/>
    <col min="769" max="769" width="8.85546875" style="153" customWidth="1"/>
    <col min="770" max="770" width="14.7109375" style="153" customWidth="1"/>
    <col min="771" max="771" width="84" style="153" customWidth="1"/>
    <col min="772" max="772" width="11.42578125" style="153" customWidth="1"/>
    <col min="773" max="773" width="14" style="153" customWidth="1"/>
    <col min="774" max="774" width="12.28515625" style="153" customWidth="1"/>
    <col min="775" max="775" width="11.85546875" style="153" customWidth="1"/>
    <col min="776" max="777" width="14.5703125" style="153" customWidth="1"/>
    <col min="778" max="778" width="13.42578125" style="153" customWidth="1"/>
    <col min="779" max="779" width="16" style="153" customWidth="1"/>
    <col min="780" max="780" width="16.140625" style="153" customWidth="1"/>
    <col min="781" max="781" width="18.28515625" style="153" bestFit="1" customWidth="1"/>
    <col min="782" max="782" width="63.42578125" style="153" customWidth="1"/>
    <col min="783" max="783" width="18.7109375" style="153" customWidth="1"/>
    <col min="784" max="784" width="15.28515625" style="153" customWidth="1"/>
    <col min="785" max="785" width="16" style="153" customWidth="1"/>
    <col min="786" max="786" width="19.85546875" style="153" customWidth="1"/>
    <col min="787" max="1024" width="11.5703125" style="153"/>
    <col min="1025" max="1025" width="8.85546875" style="153" customWidth="1"/>
    <col min="1026" max="1026" width="14.7109375" style="153" customWidth="1"/>
    <col min="1027" max="1027" width="84" style="153" customWidth="1"/>
    <col min="1028" max="1028" width="11.42578125" style="153" customWidth="1"/>
    <col min="1029" max="1029" width="14" style="153" customWidth="1"/>
    <col min="1030" max="1030" width="12.28515625" style="153" customWidth="1"/>
    <col min="1031" max="1031" width="11.85546875" style="153" customWidth="1"/>
    <col min="1032" max="1033" width="14.5703125" style="153" customWidth="1"/>
    <col min="1034" max="1034" width="13.42578125" style="153" customWidth="1"/>
    <col min="1035" max="1035" width="16" style="153" customWidth="1"/>
    <col min="1036" max="1036" width="16.140625" style="153" customWidth="1"/>
    <col min="1037" max="1037" width="18.28515625" style="153" bestFit="1" customWidth="1"/>
    <col min="1038" max="1038" width="63.42578125" style="153" customWidth="1"/>
    <col min="1039" max="1039" width="18.7109375" style="153" customWidth="1"/>
    <col min="1040" max="1040" width="15.28515625" style="153" customWidth="1"/>
    <col min="1041" max="1041" width="16" style="153" customWidth="1"/>
    <col min="1042" max="1042" width="19.85546875" style="153" customWidth="1"/>
    <col min="1043" max="1280" width="11.5703125" style="153"/>
    <col min="1281" max="1281" width="8.85546875" style="153" customWidth="1"/>
    <col min="1282" max="1282" width="14.7109375" style="153" customWidth="1"/>
    <col min="1283" max="1283" width="84" style="153" customWidth="1"/>
    <col min="1284" max="1284" width="11.42578125" style="153" customWidth="1"/>
    <col min="1285" max="1285" width="14" style="153" customWidth="1"/>
    <col min="1286" max="1286" width="12.28515625" style="153" customWidth="1"/>
    <col min="1287" max="1287" width="11.85546875" style="153" customWidth="1"/>
    <col min="1288" max="1289" width="14.5703125" style="153" customWidth="1"/>
    <col min="1290" max="1290" width="13.42578125" style="153" customWidth="1"/>
    <col min="1291" max="1291" width="16" style="153" customWidth="1"/>
    <col min="1292" max="1292" width="16.140625" style="153" customWidth="1"/>
    <col min="1293" max="1293" width="18.28515625" style="153" bestFit="1" customWidth="1"/>
    <col min="1294" max="1294" width="63.42578125" style="153" customWidth="1"/>
    <col min="1295" max="1295" width="18.7109375" style="153" customWidth="1"/>
    <col min="1296" max="1296" width="15.28515625" style="153" customWidth="1"/>
    <col min="1297" max="1297" width="16" style="153" customWidth="1"/>
    <col min="1298" max="1298" width="19.85546875" style="153" customWidth="1"/>
    <col min="1299" max="1536" width="11.5703125" style="153"/>
    <col min="1537" max="1537" width="8.85546875" style="153" customWidth="1"/>
    <col min="1538" max="1538" width="14.7109375" style="153" customWidth="1"/>
    <col min="1539" max="1539" width="84" style="153" customWidth="1"/>
    <col min="1540" max="1540" width="11.42578125" style="153" customWidth="1"/>
    <col min="1541" max="1541" width="14" style="153" customWidth="1"/>
    <col min="1542" max="1542" width="12.28515625" style="153" customWidth="1"/>
    <col min="1543" max="1543" width="11.85546875" style="153" customWidth="1"/>
    <col min="1544" max="1545" width="14.5703125" style="153" customWidth="1"/>
    <col min="1546" max="1546" width="13.42578125" style="153" customWidth="1"/>
    <col min="1547" max="1547" width="16" style="153" customWidth="1"/>
    <col min="1548" max="1548" width="16.140625" style="153" customWidth="1"/>
    <col min="1549" max="1549" width="18.28515625" style="153" bestFit="1" customWidth="1"/>
    <col min="1550" max="1550" width="63.42578125" style="153" customWidth="1"/>
    <col min="1551" max="1551" width="18.7109375" style="153" customWidth="1"/>
    <col min="1552" max="1552" width="15.28515625" style="153" customWidth="1"/>
    <col min="1553" max="1553" width="16" style="153" customWidth="1"/>
    <col min="1554" max="1554" width="19.85546875" style="153" customWidth="1"/>
    <col min="1555" max="1792" width="11.5703125" style="153"/>
    <col min="1793" max="1793" width="8.85546875" style="153" customWidth="1"/>
    <col min="1794" max="1794" width="14.7109375" style="153" customWidth="1"/>
    <col min="1795" max="1795" width="84" style="153" customWidth="1"/>
    <col min="1796" max="1796" width="11.42578125" style="153" customWidth="1"/>
    <col min="1797" max="1797" width="14" style="153" customWidth="1"/>
    <col min="1798" max="1798" width="12.28515625" style="153" customWidth="1"/>
    <col min="1799" max="1799" width="11.85546875" style="153" customWidth="1"/>
    <col min="1800" max="1801" width="14.5703125" style="153" customWidth="1"/>
    <col min="1802" max="1802" width="13.42578125" style="153" customWidth="1"/>
    <col min="1803" max="1803" width="16" style="153" customWidth="1"/>
    <col min="1804" max="1804" width="16.140625" style="153" customWidth="1"/>
    <col min="1805" max="1805" width="18.28515625" style="153" bestFit="1" customWidth="1"/>
    <col min="1806" max="1806" width="63.42578125" style="153" customWidth="1"/>
    <col min="1807" max="1807" width="18.7109375" style="153" customWidth="1"/>
    <col min="1808" max="1808" width="15.28515625" style="153" customWidth="1"/>
    <col min="1809" max="1809" width="16" style="153" customWidth="1"/>
    <col min="1810" max="1810" width="19.85546875" style="153" customWidth="1"/>
    <col min="1811" max="2048" width="11.5703125" style="153"/>
    <col min="2049" max="2049" width="8.85546875" style="153" customWidth="1"/>
    <col min="2050" max="2050" width="14.7109375" style="153" customWidth="1"/>
    <col min="2051" max="2051" width="84" style="153" customWidth="1"/>
    <col min="2052" max="2052" width="11.42578125" style="153" customWidth="1"/>
    <col min="2053" max="2053" width="14" style="153" customWidth="1"/>
    <col min="2054" max="2054" width="12.28515625" style="153" customWidth="1"/>
    <col min="2055" max="2055" width="11.85546875" style="153" customWidth="1"/>
    <col min="2056" max="2057" width="14.5703125" style="153" customWidth="1"/>
    <col min="2058" max="2058" width="13.42578125" style="153" customWidth="1"/>
    <col min="2059" max="2059" width="16" style="153" customWidth="1"/>
    <col min="2060" max="2060" width="16.140625" style="153" customWidth="1"/>
    <col min="2061" max="2061" width="18.28515625" style="153" bestFit="1" customWidth="1"/>
    <col min="2062" max="2062" width="63.42578125" style="153" customWidth="1"/>
    <col min="2063" max="2063" width="18.7109375" style="153" customWidth="1"/>
    <col min="2064" max="2064" width="15.28515625" style="153" customWidth="1"/>
    <col min="2065" max="2065" width="16" style="153" customWidth="1"/>
    <col min="2066" max="2066" width="19.85546875" style="153" customWidth="1"/>
    <col min="2067" max="2304" width="11.5703125" style="153"/>
    <col min="2305" max="2305" width="8.85546875" style="153" customWidth="1"/>
    <col min="2306" max="2306" width="14.7109375" style="153" customWidth="1"/>
    <col min="2307" max="2307" width="84" style="153" customWidth="1"/>
    <col min="2308" max="2308" width="11.42578125" style="153" customWidth="1"/>
    <col min="2309" max="2309" width="14" style="153" customWidth="1"/>
    <col min="2310" max="2310" width="12.28515625" style="153" customWidth="1"/>
    <col min="2311" max="2311" width="11.85546875" style="153" customWidth="1"/>
    <col min="2312" max="2313" width="14.5703125" style="153" customWidth="1"/>
    <col min="2314" max="2314" width="13.42578125" style="153" customWidth="1"/>
    <col min="2315" max="2315" width="16" style="153" customWidth="1"/>
    <col min="2316" max="2316" width="16.140625" style="153" customWidth="1"/>
    <col min="2317" max="2317" width="18.28515625" style="153" bestFit="1" customWidth="1"/>
    <col min="2318" max="2318" width="63.42578125" style="153" customWidth="1"/>
    <col min="2319" max="2319" width="18.7109375" style="153" customWidth="1"/>
    <col min="2320" max="2320" width="15.28515625" style="153" customWidth="1"/>
    <col min="2321" max="2321" width="16" style="153" customWidth="1"/>
    <col min="2322" max="2322" width="19.85546875" style="153" customWidth="1"/>
    <col min="2323" max="2560" width="11.5703125" style="153"/>
    <col min="2561" max="2561" width="8.85546875" style="153" customWidth="1"/>
    <col min="2562" max="2562" width="14.7109375" style="153" customWidth="1"/>
    <col min="2563" max="2563" width="84" style="153" customWidth="1"/>
    <col min="2564" max="2564" width="11.42578125" style="153" customWidth="1"/>
    <col min="2565" max="2565" width="14" style="153" customWidth="1"/>
    <col min="2566" max="2566" width="12.28515625" style="153" customWidth="1"/>
    <col min="2567" max="2567" width="11.85546875" style="153" customWidth="1"/>
    <col min="2568" max="2569" width="14.5703125" style="153" customWidth="1"/>
    <col min="2570" max="2570" width="13.42578125" style="153" customWidth="1"/>
    <col min="2571" max="2571" width="16" style="153" customWidth="1"/>
    <col min="2572" max="2572" width="16.140625" style="153" customWidth="1"/>
    <col min="2573" max="2573" width="18.28515625" style="153" bestFit="1" customWidth="1"/>
    <col min="2574" max="2574" width="63.42578125" style="153" customWidth="1"/>
    <col min="2575" max="2575" width="18.7109375" style="153" customWidth="1"/>
    <col min="2576" max="2576" width="15.28515625" style="153" customWidth="1"/>
    <col min="2577" max="2577" width="16" style="153" customWidth="1"/>
    <col min="2578" max="2578" width="19.85546875" style="153" customWidth="1"/>
    <col min="2579" max="2816" width="11.5703125" style="153"/>
    <col min="2817" max="2817" width="8.85546875" style="153" customWidth="1"/>
    <col min="2818" max="2818" width="14.7109375" style="153" customWidth="1"/>
    <col min="2819" max="2819" width="84" style="153" customWidth="1"/>
    <col min="2820" max="2820" width="11.42578125" style="153" customWidth="1"/>
    <col min="2821" max="2821" width="14" style="153" customWidth="1"/>
    <col min="2822" max="2822" width="12.28515625" style="153" customWidth="1"/>
    <col min="2823" max="2823" width="11.85546875" style="153" customWidth="1"/>
    <col min="2824" max="2825" width="14.5703125" style="153" customWidth="1"/>
    <col min="2826" max="2826" width="13.42578125" style="153" customWidth="1"/>
    <col min="2827" max="2827" width="16" style="153" customWidth="1"/>
    <col min="2828" max="2828" width="16.140625" style="153" customWidth="1"/>
    <col min="2829" max="2829" width="18.28515625" style="153" bestFit="1" customWidth="1"/>
    <col min="2830" max="2830" width="63.42578125" style="153" customWidth="1"/>
    <col min="2831" max="2831" width="18.7109375" style="153" customWidth="1"/>
    <col min="2832" max="2832" width="15.28515625" style="153" customWidth="1"/>
    <col min="2833" max="2833" width="16" style="153" customWidth="1"/>
    <col min="2834" max="2834" width="19.85546875" style="153" customWidth="1"/>
    <col min="2835" max="3072" width="11.5703125" style="153"/>
    <col min="3073" max="3073" width="8.85546875" style="153" customWidth="1"/>
    <col min="3074" max="3074" width="14.7109375" style="153" customWidth="1"/>
    <col min="3075" max="3075" width="84" style="153" customWidth="1"/>
    <col min="3076" max="3076" width="11.42578125" style="153" customWidth="1"/>
    <col min="3077" max="3077" width="14" style="153" customWidth="1"/>
    <col min="3078" max="3078" width="12.28515625" style="153" customWidth="1"/>
    <col min="3079" max="3079" width="11.85546875" style="153" customWidth="1"/>
    <col min="3080" max="3081" width="14.5703125" style="153" customWidth="1"/>
    <col min="3082" max="3082" width="13.42578125" style="153" customWidth="1"/>
    <col min="3083" max="3083" width="16" style="153" customWidth="1"/>
    <col min="3084" max="3084" width="16.140625" style="153" customWidth="1"/>
    <col min="3085" max="3085" width="18.28515625" style="153" bestFit="1" customWidth="1"/>
    <col min="3086" max="3086" width="63.42578125" style="153" customWidth="1"/>
    <col min="3087" max="3087" width="18.7109375" style="153" customWidth="1"/>
    <col min="3088" max="3088" width="15.28515625" style="153" customWidth="1"/>
    <col min="3089" max="3089" width="16" style="153" customWidth="1"/>
    <col min="3090" max="3090" width="19.85546875" style="153" customWidth="1"/>
    <col min="3091" max="3328" width="11.5703125" style="153"/>
    <col min="3329" max="3329" width="8.85546875" style="153" customWidth="1"/>
    <col min="3330" max="3330" width="14.7109375" style="153" customWidth="1"/>
    <col min="3331" max="3331" width="84" style="153" customWidth="1"/>
    <col min="3332" max="3332" width="11.42578125" style="153" customWidth="1"/>
    <col min="3333" max="3333" width="14" style="153" customWidth="1"/>
    <col min="3334" max="3334" width="12.28515625" style="153" customWidth="1"/>
    <col min="3335" max="3335" width="11.85546875" style="153" customWidth="1"/>
    <col min="3336" max="3337" width="14.5703125" style="153" customWidth="1"/>
    <col min="3338" max="3338" width="13.42578125" style="153" customWidth="1"/>
    <col min="3339" max="3339" width="16" style="153" customWidth="1"/>
    <col min="3340" max="3340" width="16.140625" style="153" customWidth="1"/>
    <col min="3341" max="3341" width="18.28515625" style="153" bestFit="1" customWidth="1"/>
    <col min="3342" max="3342" width="63.42578125" style="153" customWidth="1"/>
    <col min="3343" max="3343" width="18.7109375" style="153" customWidth="1"/>
    <col min="3344" max="3344" width="15.28515625" style="153" customWidth="1"/>
    <col min="3345" max="3345" width="16" style="153" customWidth="1"/>
    <col min="3346" max="3346" width="19.85546875" style="153" customWidth="1"/>
    <col min="3347" max="3584" width="11.5703125" style="153"/>
    <col min="3585" max="3585" width="8.85546875" style="153" customWidth="1"/>
    <col min="3586" max="3586" width="14.7109375" style="153" customWidth="1"/>
    <col min="3587" max="3587" width="84" style="153" customWidth="1"/>
    <col min="3588" max="3588" width="11.42578125" style="153" customWidth="1"/>
    <col min="3589" max="3589" width="14" style="153" customWidth="1"/>
    <col min="3590" max="3590" width="12.28515625" style="153" customWidth="1"/>
    <col min="3591" max="3591" width="11.85546875" style="153" customWidth="1"/>
    <col min="3592" max="3593" width="14.5703125" style="153" customWidth="1"/>
    <col min="3594" max="3594" width="13.42578125" style="153" customWidth="1"/>
    <col min="3595" max="3595" width="16" style="153" customWidth="1"/>
    <col min="3596" max="3596" width="16.140625" style="153" customWidth="1"/>
    <col min="3597" max="3597" width="18.28515625" style="153" bestFit="1" customWidth="1"/>
    <col min="3598" max="3598" width="63.42578125" style="153" customWidth="1"/>
    <col min="3599" max="3599" width="18.7109375" style="153" customWidth="1"/>
    <col min="3600" max="3600" width="15.28515625" style="153" customWidth="1"/>
    <col min="3601" max="3601" width="16" style="153" customWidth="1"/>
    <col min="3602" max="3602" width="19.85546875" style="153" customWidth="1"/>
    <col min="3603" max="3840" width="11.5703125" style="153"/>
    <col min="3841" max="3841" width="8.85546875" style="153" customWidth="1"/>
    <col min="3842" max="3842" width="14.7109375" style="153" customWidth="1"/>
    <col min="3843" max="3843" width="84" style="153" customWidth="1"/>
    <col min="3844" max="3844" width="11.42578125" style="153" customWidth="1"/>
    <col min="3845" max="3845" width="14" style="153" customWidth="1"/>
    <col min="3846" max="3846" width="12.28515625" style="153" customWidth="1"/>
    <col min="3847" max="3847" width="11.85546875" style="153" customWidth="1"/>
    <col min="3848" max="3849" width="14.5703125" style="153" customWidth="1"/>
    <col min="3850" max="3850" width="13.42578125" style="153" customWidth="1"/>
    <col min="3851" max="3851" width="16" style="153" customWidth="1"/>
    <col min="3852" max="3852" width="16.140625" style="153" customWidth="1"/>
    <col min="3853" max="3853" width="18.28515625" style="153" bestFit="1" customWidth="1"/>
    <col min="3854" max="3854" width="63.42578125" style="153" customWidth="1"/>
    <col min="3855" max="3855" width="18.7109375" style="153" customWidth="1"/>
    <col min="3856" max="3856" width="15.28515625" style="153" customWidth="1"/>
    <col min="3857" max="3857" width="16" style="153" customWidth="1"/>
    <col min="3858" max="3858" width="19.85546875" style="153" customWidth="1"/>
    <col min="3859" max="4096" width="11.5703125" style="153"/>
    <col min="4097" max="4097" width="8.85546875" style="153" customWidth="1"/>
    <col min="4098" max="4098" width="14.7109375" style="153" customWidth="1"/>
    <col min="4099" max="4099" width="84" style="153" customWidth="1"/>
    <col min="4100" max="4100" width="11.42578125" style="153" customWidth="1"/>
    <col min="4101" max="4101" width="14" style="153" customWidth="1"/>
    <col min="4102" max="4102" width="12.28515625" style="153" customWidth="1"/>
    <col min="4103" max="4103" width="11.85546875" style="153" customWidth="1"/>
    <col min="4104" max="4105" width="14.5703125" style="153" customWidth="1"/>
    <col min="4106" max="4106" width="13.42578125" style="153" customWidth="1"/>
    <col min="4107" max="4107" width="16" style="153" customWidth="1"/>
    <col min="4108" max="4108" width="16.140625" style="153" customWidth="1"/>
    <col min="4109" max="4109" width="18.28515625" style="153" bestFit="1" customWidth="1"/>
    <col min="4110" max="4110" width="63.42578125" style="153" customWidth="1"/>
    <col min="4111" max="4111" width="18.7109375" style="153" customWidth="1"/>
    <col min="4112" max="4112" width="15.28515625" style="153" customWidth="1"/>
    <col min="4113" max="4113" width="16" style="153" customWidth="1"/>
    <col min="4114" max="4114" width="19.85546875" style="153" customWidth="1"/>
    <col min="4115" max="4352" width="11.5703125" style="153"/>
    <col min="4353" max="4353" width="8.85546875" style="153" customWidth="1"/>
    <col min="4354" max="4354" width="14.7109375" style="153" customWidth="1"/>
    <col min="4355" max="4355" width="84" style="153" customWidth="1"/>
    <col min="4356" max="4356" width="11.42578125" style="153" customWidth="1"/>
    <col min="4357" max="4357" width="14" style="153" customWidth="1"/>
    <col min="4358" max="4358" width="12.28515625" style="153" customWidth="1"/>
    <col min="4359" max="4359" width="11.85546875" style="153" customWidth="1"/>
    <col min="4360" max="4361" width="14.5703125" style="153" customWidth="1"/>
    <col min="4362" max="4362" width="13.42578125" style="153" customWidth="1"/>
    <col min="4363" max="4363" width="16" style="153" customWidth="1"/>
    <col min="4364" max="4364" width="16.140625" style="153" customWidth="1"/>
    <col min="4365" max="4365" width="18.28515625" style="153" bestFit="1" customWidth="1"/>
    <col min="4366" max="4366" width="63.42578125" style="153" customWidth="1"/>
    <col min="4367" max="4367" width="18.7109375" style="153" customWidth="1"/>
    <col min="4368" max="4368" width="15.28515625" style="153" customWidth="1"/>
    <col min="4369" max="4369" width="16" style="153" customWidth="1"/>
    <col min="4370" max="4370" width="19.85546875" style="153" customWidth="1"/>
    <col min="4371" max="4608" width="11.5703125" style="153"/>
    <col min="4609" max="4609" width="8.85546875" style="153" customWidth="1"/>
    <col min="4610" max="4610" width="14.7109375" style="153" customWidth="1"/>
    <col min="4611" max="4611" width="84" style="153" customWidth="1"/>
    <col min="4612" max="4612" width="11.42578125" style="153" customWidth="1"/>
    <col min="4613" max="4613" width="14" style="153" customWidth="1"/>
    <col min="4614" max="4614" width="12.28515625" style="153" customWidth="1"/>
    <col min="4615" max="4615" width="11.85546875" style="153" customWidth="1"/>
    <col min="4616" max="4617" width="14.5703125" style="153" customWidth="1"/>
    <col min="4618" max="4618" width="13.42578125" style="153" customWidth="1"/>
    <col min="4619" max="4619" width="16" style="153" customWidth="1"/>
    <col min="4620" max="4620" width="16.140625" style="153" customWidth="1"/>
    <col min="4621" max="4621" width="18.28515625" style="153" bestFit="1" customWidth="1"/>
    <col min="4622" max="4622" width="63.42578125" style="153" customWidth="1"/>
    <col min="4623" max="4623" width="18.7109375" style="153" customWidth="1"/>
    <col min="4624" max="4624" width="15.28515625" style="153" customWidth="1"/>
    <col min="4625" max="4625" width="16" style="153" customWidth="1"/>
    <col min="4626" max="4626" width="19.85546875" style="153" customWidth="1"/>
    <col min="4627" max="4864" width="11.5703125" style="153"/>
    <col min="4865" max="4865" width="8.85546875" style="153" customWidth="1"/>
    <col min="4866" max="4866" width="14.7109375" style="153" customWidth="1"/>
    <col min="4867" max="4867" width="84" style="153" customWidth="1"/>
    <col min="4868" max="4868" width="11.42578125" style="153" customWidth="1"/>
    <col min="4869" max="4869" width="14" style="153" customWidth="1"/>
    <col min="4870" max="4870" width="12.28515625" style="153" customWidth="1"/>
    <col min="4871" max="4871" width="11.85546875" style="153" customWidth="1"/>
    <col min="4872" max="4873" width="14.5703125" style="153" customWidth="1"/>
    <col min="4874" max="4874" width="13.42578125" style="153" customWidth="1"/>
    <col min="4875" max="4875" width="16" style="153" customWidth="1"/>
    <col min="4876" max="4876" width="16.140625" style="153" customWidth="1"/>
    <col min="4877" max="4877" width="18.28515625" style="153" bestFit="1" customWidth="1"/>
    <col min="4878" max="4878" width="63.42578125" style="153" customWidth="1"/>
    <col min="4879" max="4879" width="18.7109375" style="153" customWidth="1"/>
    <col min="4880" max="4880" width="15.28515625" style="153" customWidth="1"/>
    <col min="4881" max="4881" width="16" style="153" customWidth="1"/>
    <col min="4882" max="4882" width="19.85546875" style="153" customWidth="1"/>
    <col min="4883" max="5120" width="11.5703125" style="153"/>
    <col min="5121" max="5121" width="8.85546875" style="153" customWidth="1"/>
    <col min="5122" max="5122" width="14.7109375" style="153" customWidth="1"/>
    <col min="5123" max="5123" width="84" style="153" customWidth="1"/>
    <col min="5124" max="5124" width="11.42578125" style="153" customWidth="1"/>
    <col min="5125" max="5125" width="14" style="153" customWidth="1"/>
    <col min="5126" max="5126" width="12.28515625" style="153" customWidth="1"/>
    <col min="5127" max="5127" width="11.85546875" style="153" customWidth="1"/>
    <col min="5128" max="5129" width="14.5703125" style="153" customWidth="1"/>
    <col min="5130" max="5130" width="13.42578125" style="153" customWidth="1"/>
    <col min="5131" max="5131" width="16" style="153" customWidth="1"/>
    <col min="5132" max="5132" width="16.140625" style="153" customWidth="1"/>
    <col min="5133" max="5133" width="18.28515625" style="153" bestFit="1" customWidth="1"/>
    <col min="5134" max="5134" width="63.42578125" style="153" customWidth="1"/>
    <col min="5135" max="5135" width="18.7109375" style="153" customWidth="1"/>
    <col min="5136" max="5136" width="15.28515625" style="153" customWidth="1"/>
    <col min="5137" max="5137" width="16" style="153" customWidth="1"/>
    <col min="5138" max="5138" width="19.85546875" style="153" customWidth="1"/>
    <col min="5139" max="5376" width="11.5703125" style="153"/>
    <col min="5377" max="5377" width="8.85546875" style="153" customWidth="1"/>
    <col min="5378" max="5378" width="14.7109375" style="153" customWidth="1"/>
    <col min="5379" max="5379" width="84" style="153" customWidth="1"/>
    <col min="5380" max="5380" width="11.42578125" style="153" customWidth="1"/>
    <col min="5381" max="5381" width="14" style="153" customWidth="1"/>
    <col min="5382" max="5382" width="12.28515625" style="153" customWidth="1"/>
    <col min="5383" max="5383" width="11.85546875" style="153" customWidth="1"/>
    <col min="5384" max="5385" width="14.5703125" style="153" customWidth="1"/>
    <col min="5386" max="5386" width="13.42578125" style="153" customWidth="1"/>
    <col min="5387" max="5387" width="16" style="153" customWidth="1"/>
    <col min="5388" max="5388" width="16.140625" style="153" customWidth="1"/>
    <col min="5389" max="5389" width="18.28515625" style="153" bestFit="1" customWidth="1"/>
    <col min="5390" max="5390" width="63.42578125" style="153" customWidth="1"/>
    <col min="5391" max="5391" width="18.7109375" style="153" customWidth="1"/>
    <col min="5392" max="5392" width="15.28515625" style="153" customWidth="1"/>
    <col min="5393" max="5393" width="16" style="153" customWidth="1"/>
    <col min="5394" max="5394" width="19.85546875" style="153" customWidth="1"/>
    <col min="5395" max="5632" width="11.5703125" style="153"/>
    <col min="5633" max="5633" width="8.85546875" style="153" customWidth="1"/>
    <col min="5634" max="5634" width="14.7109375" style="153" customWidth="1"/>
    <col min="5635" max="5635" width="84" style="153" customWidth="1"/>
    <col min="5636" max="5636" width="11.42578125" style="153" customWidth="1"/>
    <col min="5637" max="5637" width="14" style="153" customWidth="1"/>
    <col min="5638" max="5638" width="12.28515625" style="153" customWidth="1"/>
    <col min="5639" max="5639" width="11.85546875" style="153" customWidth="1"/>
    <col min="5640" max="5641" width="14.5703125" style="153" customWidth="1"/>
    <col min="5642" max="5642" width="13.42578125" style="153" customWidth="1"/>
    <col min="5643" max="5643" width="16" style="153" customWidth="1"/>
    <col min="5644" max="5644" width="16.140625" style="153" customWidth="1"/>
    <col min="5645" max="5645" width="18.28515625" style="153" bestFit="1" customWidth="1"/>
    <col min="5646" max="5646" width="63.42578125" style="153" customWidth="1"/>
    <col min="5647" max="5647" width="18.7109375" style="153" customWidth="1"/>
    <col min="5648" max="5648" width="15.28515625" style="153" customWidth="1"/>
    <col min="5649" max="5649" width="16" style="153" customWidth="1"/>
    <col min="5650" max="5650" width="19.85546875" style="153" customWidth="1"/>
    <col min="5651" max="5888" width="11.5703125" style="153"/>
    <col min="5889" max="5889" width="8.85546875" style="153" customWidth="1"/>
    <col min="5890" max="5890" width="14.7109375" style="153" customWidth="1"/>
    <col min="5891" max="5891" width="84" style="153" customWidth="1"/>
    <col min="5892" max="5892" width="11.42578125" style="153" customWidth="1"/>
    <col min="5893" max="5893" width="14" style="153" customWidth="1"/>
    <col min="5894" max="5894" width="12.28515625" style="153" customWidth="1"/>
    <col min="5895" max="5895" width="11.85546875" style="153" customWidth="1"/>
    <col min="5896" max="5897" width="14.5703125" style="153" customWidth="1"/>
    <col min="5898" max="5898" width="13.42578125" style="153" customWidth="1"/>
    <col min="5899" max="5899" width="16" style="153" customWidth="1"/>
    <col min="5900" max="5900" width="16.140625" style="153" customWidth="1"/>
    <col min="5901" max="5901" width="18.28515625" style="153" bestFit="1" customWidth="1"/>
    <col min="5902" max="5902" width="63.42578125" style="153" customWidth="1"/>
    <col min="5903" max="5903" width="18.7109375" style="153" customWidth="1"/>
    <col min="5904" max="5904" width="15.28515625" style="153" customWidth="1"/>
    <col min="5905" max="5905" width="16" style="153" customWidth="1"/>
    <col min="5906" max="5906" width="19.85546875" style="153" customWidth="1"/>
    <col min="5907" max="6144" width="11.5703125" style="153"/>
    <col min="6145" max="6145" width="8.85546875" style="153" customWidth="1"/>
    <col min="6146" max="6146" width="14.7109375" style="153" customWidth="1"/>
    <col min="6147" max="6147" width="84" style="153" customWidth="1"/>
    <col min="6148" max="6148" width="11.42578125" style="153" customWidth="1"/>
    <col min="6149" max="6149" width="14" style="153" customWidth="1"/>
    <col min="6150" max="6150" width="12.28515625" style="153" customWidth="1"/>
    <col min="6151" max="6151" width="11.85546875" style="153" customWidth="1"/>
    <col min="6152" max="6153" width="14.5703125" style="153" customWidth="1"/>
    <col min="6154" max="6154" width="13.42578125" style="153" customWidth="1"/>
    <col min="6155" max="6155" width="16" style="153" customWidth="1"/>
    <col min="6156" max="6156" width="16.140625" style="153" customWidth="1"/>
    <col min="6157" max="6157" width="18.28515625" style="153" bestFit="1" customWidth="1"/>
    <col min="6158" max="6158" width="63.42578125" style="153" customWidth="1"/>
    <col min="6159" max="6159" width="18.7109375" style="153" customWidth="1"/>
    <col min="6160" max="6160" width="15.28515625" style="153" customWidth="1"/>
    <col min="6161" max="6161" width="16" style="153" customWidth="1"/>
    <col min="6162" max="6162" width="19.85546875" style="153" customWidth="1"/>
    <col min="6163" max="6400" width="11.5703125" style="153"/>
    <col min="6401" max="6401" width="8.85546875" style="153" customWidth="1"/>
    <col min="6402" max="6402" width="14.7109375" style="153" customWidth="1"/>
    <col min="6403" max="6403" width="84" style="153" customWidth="1"/>
    <col min="6404" max="6404" width="11.42578125" style="153" customWidth="1"/>
    <col min="6405" max="6405" width="14" style="153" customWidth="1"/>
    <col min="6406" max="6406" width="12.28515625" style="153" customWidth="1"/>
    <col min="6407" max="6407" width="11.85546875" style="153" customWidth="1"/>
    <col min="6408" max="6409" width="14.5703125" style="153" customWidth="1"/>
    <col min="6410" max="6410" width="13.42578125" style="153" customWidth="1"/>
    <col min="6411" max="6411" width="16" style="153" customWidth="1"/>
    <col min="6412" max="6412" width="16.140625" style="153" customWidth="1"/>
    <col min="6413" max="6413" width="18.28515625" style="153" bestFit="1" customWidth="1"/>
    <col min="6414" max="6414" width="63.42578125" style="153" customWidth="1"/>
    <col min="6415" max="6415" width="18.7109375" style="153" customWidth="1"/>
    <col min="6416" max="6416" width="15.28515625" style="153" customWidth="1"/>
    <col min="6417" max="6417" width="16" style="153" customWidth="1"/>
    <col min="6418" max="6418" width="19.85546875" style="153" customWidth="1"/>
    <col min="6419" max="6656" width="11.5703125" style="153"/>
    <col min="6657" max="6657" width="8.85546875" style="153" customWidth="1"/>
    <col min="6658" max="6658" width="14.7109375" style="153" customWidth="1"/>
    <col min="6659" max="6659" width="84" style="153" customWidth="1"/>
    <col min="6660" max="6660" width="11.42578125" style="153" customWidth="1"/>
    <col min="6661" max="6661" width="14" style="153" customWidth="1"/>
    <col min="6662" max="6662" width="12.28515625" style="153" customWidth="1"/>
    <col min="6663" max="6663" width="11.85546875" style="153" customWidth="1"/>
    <col min="6664" max="6665" width="14.5703125" style="153" customWidth="1"/>
    <col min="6666" max="6666" width="13.42578125" style="153" customWidth="1"/>
    <col min="6667" max="6667" width="16" style="153" customWidth="1"/>
    <col min="6668" max="6668" width="16.140625" style="153" customWidth="1"/>
    <col min="6669" max="6669" width="18.28515625" style="153" bestFit="1" customWidth="1"/>
    <col min="6670" max="6670" width="63.42578125" style="153" customWidth="1"/>
    <col min="6671" max="6671" width="18.7109375" style="153" customWidth="1"/>
    <col min="6672" max="6672" width="15.28515625" style="153" customWidth="1"/>
    <col min="6673" max="6673" width="16" style="153" customWidth="1"/>
    <col min="6674" max="6674" width="19.85546875" style="153" customWidth="1"/>
    <col min="6675" max="6912" width="11.5703125" style="153"/>
    <col min="6913" max="6913" width="8.85546875" style="153" customWidth="1"/>
    <col min="6914" max="6914" width="14.7109375" style="153" customWidth="1"/>
    <col min="6915" max="6915" width="84" style="153" customWidth="1"/>
    <col min="6916" max="6916" width="11.42578125" style="153" customWidth="1"/>
    <col min="6917" max="6917" width="14" style="153" customWidth="1"/>
    <col min="6918" max="6918" width="12.28515625" style="153" customWidth="1"/>
    <col min="6919" max="6919" width="11.85546875" style="153" customWidth="1"/>
    <col min="6920" max="6921" width="14.5703125" style="153" customWidth="1"/>
    <col min="6922" max="6922" width="13.42578125" style="153" customWidth="1"/>
    <col min="6923" max="6923" width="16" style="153" customWidth="1"/>
    <col min="6924" max="6924" width="16.140625" style="153" customWidth="1"/>
    <col min="6925" max="6925" width="18.28515625" style="153" bestFit="1" customWidth="1"/>
    <col min="6926" max="6926" width="63.42578125" style="153" customWidth="1"/>
    <col min="6927" max="6927" width="18.7109375" style="153" customWidth="1"/>
    <col min="6928" max="6928" width="15.28515625" style="153" customWidth="1"/>
    <col min="6929" max="6929" width="16" style="153" customWidth="1"/>
    <col min="6930" max="6930" width="19.85546875" style="153" customWidth="1"/>
    <col min="6931" max="7168" width="11.5703125" style="153"/>
    <col min="7169" max="7169" width="8.85546875" style="153" customWidth="1"/>
    <col min="7170" max="7170" width="14.7109375" style="153" customWidth="1"/>
    <col min="7171" max="7171" width="84" style="153" customWidth="1"/>
    <col min="7172" max="7172" width="11.42578125" style="153" customWidth="1"/>
    <col min="7173" max="7173" width="14" style="153" customWidth="1"/>
    <col min="7174" max="7174" width="12.28515625" style="153" customWidth="1"/>
    <col min="7175" max="7175" width="11.85546875" style="153" customWidth="1"/>
    <col min="7176" max="7177" width="14.5703125" style="153" customWidth="1"/>
    <col min="7178" max="7178" width="13.42578125" style="153" customWidth="1"/>
    <col min="7179" max="7179" width="16" style="153" customWidth="1"/>
    <col min="7180" max="7180" width="16.140625" style="153" customWidth="1"/>
    <col min="7181" max="7181" width="18.28515625" style="153" bestFit="1" customWidth="1"/>
    <col min="7182" max="7182" width="63.42578125" style="153" customWidth="1"/>
    <col min="7183" max="7183" width="18.7109375" style="153" customWidth="1"/>
    <col min="7184" max="7184" width="15.28515625" style="153" customWidth="1"/>
    <col min="7185" max="7185" width="16" style="153" customWidth="1"/>
    <col min="7186" max="7186" width="19.85546875" style="153" customWidth="1"/>
    <col min="7187" max="7424" width="11.5703125" style="153"/>
    <col min="7425" max="7425" width="8.85546875" style="153" customWidth="1"/>
    <col min="7426" max="7426" width="14.7109375" style="153" customWidth="1"/>
    <col min="7427" max="7427" width="84" style="153" customWidth="1"/>
    <col min="7428" max="7428" width="11.42578125" style="153" customWidth="1"/>
    <col min="7429" max="7429" width="14" style="153" customWidth="1"/>
    <col min="7430" max="7430" width="12.28515625" style="153" customWidth="1"/>
    <col min="7431" max="7431" width="11.85546875" style="153" customWidth="1"/>
    <col min="7432" max="7433" width="14.5703125" style="153" customWidth="1"/>
    <col min="7434" max="7434" width="13.42578125" style="153" customWidth="1"/>
    <col min="7435" max="7435" width="16" style="153" customWidth="1"/>
    <col min="7436" max="7436" width="16.140625" style="153" customWidth="1"/>
    <col min="7437" max="7437" width="18.28515625" style="153" bestFit="1" customWidth="1"/>
    <col min="7438" max="7438" width="63.42578125" style="153" customWidth="1"/>
    <col min="7439" max="7439" width="18.7109375" style="153" customWidth="1"/>
    <col min="7440" max="7440" width="15.28515625" style="153" customWidth="1"/>
    <col min="7441" max="7441" width="16" style="153" customWidth="1"/>
    <col min="7442" max="7442" width="19.85546875" style="153" customWidth="1"/>
    <col min="7443" max="7680" width="11.5703125" style="153"/>
    <col min="7681" max="7681" width="8.85546875" style="153" customWidth="1"/>
    <col min="7682" max="7682" width="14.7109375" style="153" customWidth="1"/>
    <col min="7683" max="7683" width="84" style="153" customWidth="1"/>
    <col min="7684" max="7684" width="11.42578125" style="153" customWidth="1"/>
    <col min="7685" max="7685" width="14" style="153" customWidth="1"/>
    <col min="7686" max="7686" width="12.28515625" style="153" customWidth="1"/>
    <col min="7687" max="7687" width="11.85546875" style="153" customWidth="1"/>
    <col min="7688" max="7689" width="14.5703125" style="153" customWidth="1"/>
    <col min="7690" max="7690" width="13.42578125" style="153" customWidth="1"/>
    <col min="7691" max="7691" width="16" style="153" customWidth="1"/>
    <col min="7692" max="7692" width="16.140625" style="153" customWidth="1"/>
    <col min="7693" max="7693" width="18.28515625" style="153" bestFit="1" customWidth="1"/>
    <col min="7694" max="7694" width="63.42578125" style="153" customWidth="1"/>
    <col min="7695" max="7695" width="18.7109375" style="153" customWidth="1"/>
    <col min="7696" max="7696" width="15.28515625" style="153" customWidth="1"/>
    <col min="7697" max="7697" width="16" style="153" customWidth="1"/>
    <col min="7698" max="7698" width="19.85546875" style="153" customWidth="1"/>
    <col min="7699" max="7936" width="11.5703125" style="153"/>
    <col min="7937" max="7937" width="8.85546875" style="153" customWidth="1"/>
    <col min="7938" max="7938" width="14.7109375" style="153" customWidth="1"/>
    <col min="7939" max="7939" width="84" style="153" customWidth="1"/>
    <col min="7940" max="7940" width="11.42578125" style="153" customWidth="1"/>
    <col min="7941" max="7941" width="14" style="153" customWidth="1"/>
    <col min="7942" max="7942" width="12.28515625" style="153" customWidth="1"/>
    <col min="7943" max="7943" width="11.85546875" style="153" customWidth="1"/>
    <col min="7944" max="7945" width="14.5703125" style="153" customWidth="1"/>
    <col min="7946" max="7946" width="13.42578125" style="153" customWidth="1"/>
    <col min="7947" max="7947" width="16" style="153" customWidth="1"/>
    <col min="7948" max="7948" width="16.140625" style="153" customWidth="1"/>
    <col min="7949" max="7949" width="18.28515625" style="153" bestFit="1" customWidth="1"/>
    <col min="7950" max="7950" width="63.42578125" style="153" customWidth="1"/>
    <col min="7951" max="7951" width="18.7109375" style="153" customWidth="1"/>
    <col min="7952" max="7952" width="15.28515625" style="153" customWidth="1"/>
    <col min="7953" max="7953" width="16" style="153" customWidth="1"/>
    <col min="7954" max="7954" width="19.85546875" style="153" customWidth="1"/>
    <col min="7955" max="8192" width="11.5703125" style="153"/>
    <col min="8193" max="8193" width="8.85546875" style="153" customWidth="1"/>
    <col min="8194" max="8194" width="14.7109375" style="153" customWidth="1"/>
    <col min="8195" max="8195" width="84" style="153" customWidth="1"/>
    <col min="8196" max="8196" width="11.42578125" style="153" customWidth="1"/>
    <col min="8197" max="8197" width="14" style="153" customWidth="1"/>
    <col min="8198" max="8198" width="12.28515625" style="153" customWidth="1"/>
    <col min="8199" max="8199" width="11.85546875" style="153" customWidth="1"/>
    <col min="8200" max="8201" width="14.5703125" style="153" customWidth="1"/>
    <col min="8202" max="8202" width="13.42578125" style="153" customWidth="1"/>
    <col min="8203" max="8203" width="16" style="153" customWidth="1"/>
    <col min="8204" max="8204" width="16.140625" style="153" customWidth="1"/>
    <col min="8205" max="8205" width="18.28515625" style="153" bestFit="1" customWidth="1"/>
    <col min="8206" max="8206" width="63.42578125" style="153" customWidth="1"/>
    <col min="8207" max="8207" width="18.7109375" style="153" customWidth="1"/>
    <col min="8208" max="8208" width="15.28515625" style="153" customWidth="1"/>
    <col min="8209" max="8209" width="16" style="153" customWidth="1"/>
    <col min="8210" max="8210" width="19.85546875" style="153" customWidth="1"/>
    <col min="8211" max="8448" width="11.5703125" style="153"/>
    <col min="8449" max="8449" width="8.85546875" style="153" customWidth="1"/>
    <col min="8450" max="8450" width="14.7109375" style="153" customWidth="1"/>
    <col min="8451" max="8451" width="84" style="153" customWidth="1"/>
    <col min="8452" max="8452" width="11.42578125" style="153" customWidth="1"/>
    <col min="8453" max="8453" width="14" style="153" customWidth="1"/>
    <col min="8454" max="8454" width="12.28515625" style="153" customWidth="1"/>
    <col min="8455" max="8455" width="11.85546875" style="153" customWidth="1"/>
    <col min="8456" max="8457" width="14.5703125" style="153" customWidth="1"/>
    <col min="8458" max="8458" width="13.42578125" style="153" customWidth="1"/>
    <col min="8459" max="8459" width="16" style="153" customWidth="1"/>
    <col min="8460" max="8460" width="16.140625" style="153" customWidth="1"/>
    <col min="8461" max="8461" width="18.28515625" style="153" bestFit="1" customWidth="1"/>
    <col min="8462" max="8462" width="63.42578125" style="153" customWidth="1"/>
    <col min="8463" max="8463" width="18.7109375" style="153" customWidth="1"/>
    <col min="8464" max="8464" width="15.28515625" style="153" customWidth="1"/>
    <col min="8465" max="8465" width="16" style="153" customWidth="1"/>
    <col min="8466" max="8466" width="19.85546875" style="153" customWidth="1"/>
    <col min="8467" max="8704" width="11.5703125" style="153"/>
    <col min="8705" max="8705" width="8.85546875" style="153" customWidth="1"/>
    <col min="8706" max="8706" width="14.7109375" style="153" customWidth="1"/>
    <col min="8707" max="8707" width="84" style="153" customWidth="1"/>
    <col min="8708" max="8708" width="11.42578125" style="153" customWidth="1"/>
    <col min="8709" max="8709" width="14" style="153" customWidth="1"/>
    <col min="8710" max="8710" width="12.28515625" style="153" customWidth="1"/>
    <col min="8711" max="8711" width="11.85546875" style="153" customWidth="1"/>
    <col min="8712" max="8713" width="14.5703125" style="153" customWidth="1"/>
    <col min="8714" max="8714" width="13.42578125" style="153" customWidth="1"/>
    <col min="8715" max="8715" width="16" style="153" customWidth="1"/>
    <col min="8716" max="8716" width="16.140625" style="153" customWidth="1"/>
    <col min="8717" max="8717" width="18.28515625" style="153" bestFit="1" customWidth="1"/>
    <col min="8718" max="8718" width="63.42578125" style="153" customWidth="1"/>
    <col min="8719" max="8719" width="18.7109375" style="153" customWidth="1"/>
    <col min="8720" max="8720" width="15.28515625" style="153" customWidth="1"/>
    <col min="8721" max="8721" width="16" style="153" customWidth="1"/>
    <col min="8722" max="8722" width="19.85546875" style="153" customWidth="1"/>
    <col min="8723" max="8960" width="11.5703125" style="153"/>
    <col min="8961" max="8961" width="8.85546875" style="153" customWidth="1"/>
    <col min="8962" max="8962" width="14.7109375" style="153" customWidth="1"/>
    <col min="8963" max="8963" width="84" style="153" customWidth="1"/>
    <col min="8964" max="8964" width="11.42578125" style="153" customWidth="1"/>
    <col min="8965" max="8965" width="14" style="153" customWidth="1"/>
    <col min="8966" max="8966" width="12.28515625" style="153" customWidth="1"/>
    <col min="8967" max="8967" width="11.85546875" style="153" customWidth="1"/>
    <col min="8968" max="8969" width="14.5703125" style="153" customWidth="1"/>
    <col min="8970" max="8970" width="13.42578125" style="153" customWidth="1"/>
    <col min="8971" max="8971" width="16" style="153" customWidth="1"/>
    <col min="8972" max="8972" width="16.140625" style="153" customWidth="1"/>
    <col min="8973" max="8973" width="18.28515625" style="153" bestFit="1" customWidth="1"/>
    <col min="8974" max="8974" width="63.42578125" style="153" customWidth="1"/>
    <col min="8975" max="8975" width="18.7109375" style="153" customWidth="1"/>
    <col min="8976" max="8976" width="15.28515625" style="153" customWidth="1"/>
    <col min="8977" max="8977" width="16" style="153" customWidth="1"/>
    <col min="8978" max="8978" width="19.85546875" style="153" customWidth="1"/>
    <col min="8979" max="9216" width="11.5703125" style="153"/>
    <col min="9217" max="9217" width="8.85546875" style="153" customWidth="1"/>
    <col min="9218" max="9218" width="14.7109375" style="153" customWidth="1"/>
    <col min="9219" max="9219" width="84" style="153" customWidth="1"/>
    <col min="9220" max="9220" width="11.42578125" style="153" customWidth="1"/>
    <col min="9221" max="9221" width="14" style="153" customWidth="1"/>
    <col min="9222" max="9222" width="12.28515625" style="153" customWidth="1"/>
    <col min="9223" max="9223" width="11.85546875" style="153" customWidth="1"/>
    <col min="9224" max="9225" width="14.5703125" style="153" customWidth="1"/>
    <col min="9226" max="9226" width="13.42578125" style="153" customWidth="1"/>
    <col min="9227" max="9227" width="16" style="153" customWidth="1"/>
    <col min="9228" max="9228" width="16.140625" style="153" customWidth="1"/>
    <col min="9229" max="9229" width="18.28515625" style="153" bestFit="1" customWidth="1"/>
    <col min="9230" max="9230" width="63.42578125" style="153" customWidth="1"/>
    <col min="9231" max="9231" width="18.7109375" style="153" customWidth="1"/>
    <col min="9232" max="9232" width="15.28515625" style="153" customWidth="1"/>
    <col min="9233" max="9233" width="16" style="153" customWidth="1"/>
    <col min="9234" max="9234" width="19.85546875" style="153" customWidth="1"/>
    <col min="9235" max="9472" width="11.5703125" style="153"/>
    <col min="9473" max="9473" width="8.85546875" style="153" customWidth="1"/>
    <col min="9474" max="9474" width="14.7109375" style="153" customWidth="1"/>
    <col min="9475" max="9475" width="84" style="153" customWidth="1"/>
    <col min="9476" max="9476" width="11.42578125" style="153" customWidth="1"/>
    <col min="9477" max="9477" width="14" style="153" customWidth="1"/>
    <col min="9478" max="9478" width="12.28515625" style="153" customWidth="1"/>
    <col min="9479" max="9479" width="11.85546875" style="153" customWidth="1"/>
    <col min="9480" max="9481" width="14.5703125" style="153" customWidth="1"/>
    <col min="9482" max="9482" width="13.42578125" style="153" customWidth="1"/>
    <col min="9483" max="9483" width="16" style="153" customWidth="1"/>
    <col min="9484" max="9484" width="16.140625" style="153" customWidth="1"/>
    <col min="9485" max="9485" width="18.28515625" style="153" bestFit="1" customWidth="1"/>
    <col min="9486" max="9486" width="63.42578125" style="153" customWidth="1"/>
    <col min="9487" max="9487" width="18.7109375" style="153" customWidth="1"/>
    <col min="9488" max="9488" width="15.28515625" style="153" customWidth="1"/>
    <col min="9489" max="9489" width="16" style="153" customWidth="1"/>
    <col min="9490" max="9490" width="19.85546875" style="153" customWidth="1"/>
    <col min="9491" max="9728" width="11.5703125" style="153"/>
    <col min="9729" max="9729" width="8.85546875" style="153" customWidth="1"/>
    <col min="9730" max="9730" width="14.7109375" style="153" customWidth="1"/>
    <col min="9731" max="9731" width="84" style="153" customWidth="1"/>
    <col min="9732" max="9732" width="11.42578125" style="153" customWidth="1"/>
    <col min="9733" max="9733" width="14" style="153" customWidth="1"/>
    <col min="9734" max="9734" width="12.28515625" style="153" customWidth="1"/>
    <col min="9735" max="9735" width="11.85546875" style="153" customWidth="1"/>
    <col min="9736" max="9737" width="14.5703125" style="153" customWidth="1"/>
    <col min="9738" max="9738" width="13.42578125" style="153" customWidth="1"/>
    <col min="9739" max="9739" width="16" style="153" customWidth="1"/>
    <col min="9740" max="9740" width="16.140625" style="153" customWidth="1"/>
    <col min="9741" max="9741" width="18.28515625" style="153" bestFit="1" customWidth="1"/>
    <col min="9742" max="9742" width="63.42578125" style="153" customWidth="1"/>
    <col min="9743" max="9743" width="18.7109375" style="153" customWidth="1"/>
    <col min="9744" max="9744" width="15.28515625" style="153" customWidth="1"/>
    <col min="9745" max="9745" width="16" style="153" customWidth="1"/>
    <col min="9746" max="9746" width="19.85546875" style="153" customWidth="1"/>
    <col min="9747" max="9984" width="11.5703125" style="153"/>
    <col min="9985" max="9985" width="8.85546875" style="153" customWidth="1"/>
    <col min="9986" max="9986" width="14.7109375" style="153" customWidth="1"/>
    <col min="9987" max="9987" width="84" style="153" customWidth="1"/>
    <col min="9988" max="9988" width="11.42578125" style="153" customWidth="1"/>
    <col min="9989" max="9989" width="14" style="153" customWidth="1"/>
    <col min="9990" max="9990" width="12.28515625" style="153" customWidth="1"/>
    <col min="9991" max="9991" width="11.85546875" style="153" customWidth="1"/>
    <col min="9992" max="9993" width="14.5703125" style="153" customWidth="1"/>
    <col min="9994" max="9994" width="13.42578125" style="153" customWidth="1"/>
    <col min="9995" max="9995" width="16" style="153" customWidth="1"/>
    <col min="9996" max="9996" width="16.140625" style="153" customWidth="1"/>
    <col min="9997" max="9997" width="18.28515625" style="153" bestFit="1" customWidth="1"/>
    <col min="9998" max="9998" width="63.42578125" style="153" customWidth="1"/>
    <col min="9999" max="9999" width="18.7109375" style="153" customWidth="1"/>
    <col min="10000" max="10000" width="15.28515625" style="153" customWidth="1"/>
    <col min="10001" max="10001" width="16" style="153" customWidth="1"/>
    <col min="10002" max="10002" width="19.85546875" style="153" customWidth="1"/>
    <col min="10003" max="10240" width="11.5703125" style="153"/>
    <col min="10241" max="10241" width="8.85546875" style="153" customWidth="1"/>
    <col min="10242" max="10242" width="14.7109375" style="153" customWidth="1"/>
    <col min="10243" max="10243" width="84" style="153" customWidth="1"/>
    <col min="10244" max="10244" width="11.42578125" style="153" customWidth="1"/>
    <col min="10245" max="10245" width="14" style="153" customWidth="1"/>
    <col min="10246" max="10246" width="12.28515625" style="153" customWidth="1"/>
    <col min="10247" max="10247" width="11.85546875" style="153" customWidth="1"/>
    <col min="10248" max="10249" width="14.5703125" style="153" customWidth="1"/>
    <col min="10250" max="10250" width="13.42578125" style="153" customWidth="1"/>
    <col min="10251" max="10251" width="16" style="153" customWidth="1"/>
    <col min="10252" max="10252" width="16.140625" style="153" customWidth="1"/>
    <col min="10253" max="10253" width="18.28515625" style="153" bestFit="1" customWidth="1"/>
    <col min="10254" max="10254" width="63.42578125" style="153" customWidth="1"/>
    <col min="10255" max="10255" width="18.7109375" style="153" customWidth="1"/>
    <col min="10256" max="10256" width="15.28515625" style="153" customWidth="1"/>
    <col min="10257" max="10257" width="16" style="153" customWidth="1"/>
    <col min="10258" max="10258" width="19.85546875" style="153" customWidth="1"/>
    <col min="10259" max="10496" width="11.5703125" style="153"/>
    <col min="10497" max="10497" width="8.85546875" style="153" customWidth="1"/>
    <col min="10498" max="10498" width="14.7109375" style="153" customWidth="1"/>
    <col min="10499" max="10499" width="84" style="153" customWidth="1"/>
    <col min="10500" max="10500" width="11.42578125" style="153" customWidth="1"/>
    <col min="10501" max="10501" width="14" style="153" customWidth="1"/>
    <col min="10502" max="10502" width="12.28515625" style="153" customWidth="1"/>
    <col min="10503" max="10503" width="11.85546875" style="153" customWidth="1"/>
    <col min="10504" max="10505" width="14.5703125" style="153" customWidth="1"/>
    <col min="10506" max="10506" width="13.42578125" style="153" customWidth="1"/>
    <col min="10507" max="10507" width="16" style="153" customWidth="1"/>
    <col min="10508" max="10508" width="16.140625" style="153" customWidth="1"/>
    <col min="10509" max="10509" width="18.28515625" style="153" bestFit="1" customWidth="1"/>
    <col min="10510" max="10510" width="63.42578125" style="153" customWidth="1"/>
    <col min="10511" max="10511" width="18.7109375" style="153" customWidth="1"/>
    <col min="10512" max="10512" width="15.28515625" style="153" customWidth="1"/>
    <col min="10513" max="10513" width="16" style="153" customWidth="1"/>
    <col min="10514" max="10514" width="19.85546875" style="153" customWidth="1"/>
    <col min="10515" max="10752" width="11.5703125" style="153"/>
    <col min="10753" max="10753" width="8.85546875" style="153" customWidth="1"/>
    <col min="10754" max="10754" width="14.7109375" style="153" customWidth="1"/>
    <col min="10755" max="10755" width="84" style="153" customWidth="1"/>
    <col min="10756" max="10756" width="11.42578125" style="153" customWidth="1"/>
    <col min="10757" max="10757" width="14" style="153" customWidth="1"/>
    <col min="10758" max="10758" width="12.28515625" style="153" customWidth="1"/>
    <col min="10759" max="10759" width="11.85546875" style="153" customWidth="1"/>
    <col min="10760" max="10761" width="14.5703125" style="153" customWidth="1"/>
    <col min="10762" max="10762" width="13.42578125" style="153" customWidth="1"/>
    <col min="10763" max="10763" width="16" style="153" customWidth="1"/>
    <col min="10764" max="10764" width="16.140625" style="153" customWidth="1"/>
    <col min="10765" max="10765" width="18.28515625" style="153" bestFit="1" customWidth="1"/>
    <col min="10766" max="10766" width="63.42578125" style="153" customWidth="1"/>
    <col min="10767" max="10767" width="18.7109375" style="153" customWidth="1"/>
    <col min="10768" max="10768" width="15.28515625" style="153" customWidth="1"/>
    <col min="10769" max="10769" width="16" style="153" customWidth="1"/>
    <col min="10770" max="10770" width="19.85546875" style="153" customWidth="1"/>
    <col min="10771" max="11008" width="11.5703125" style="153"/>
    <col min="11009" max="11009" width="8.85546875" style="153" customWidth="1"/>
    <col min="11010" max="11010" width="14.7109375" style="153" customWidth="1"/>
    <col min="11011" max="11011" width="84" style="153" customWidth="1"/>
    <col min="11012" max="11012" width="11.42578125" style="153" customWidth="1"/>
    <col min="11013" max="11013" width="14" style="153" customWidth="1"/>
    <col min="11014" max="11014" width="12.28515625" style="153" customWidth="1"/>
    <col min="11015" max="11015" width="11.85546875" style="153" customWidth="1"/>
    <col min="11016" max="11017" width="14.5703125" style="153" customWidth="1"/>
    <col min="11018" max="11018" width="13.42578125" style="153" customWidth="1"/>
    <col min="11019" max="11019" width="16" style="153" customWidth="1"/>
    <col min="11020" max="11020" width="16.140625" style="153" customWidth="1"/>
    <col min="11021" max="11021" width="18.28515625" style="153" bestFit="1" customWidth="1"/>
    <col min="11022" max="11022" width="63.42578125" style="153" customWidth="1"/>
    <col min="11023" max="11023" width="18.7109375" style="153" customWidth="1"/>
    <col min="11024" max="11024" width="15.28515625" style="153" customWidth="1"/>
    <col min="11025" max="11025" width="16" style="153" customWidth="1"/>
    <col min="11026" max="11026" width="19.85546875" style="153" customWidth="1"/>
    <col min="11027" max="11264" width="11.5703125" style="153"/>
    <col min="11265" max="11265" width="8.85546875" style="153" customWidth="1"/>
    <col min="11266" max="11266" width="14.7109375" style="153" customWidth="1"/>
    <col min="11267" max="11267" width="84" style="153" customWidth="1"/>
    <col min="11268" max="11268" width="11.42578125" style="153" customWidth="1"/>
    <col min="11269" max="11269" width="14" style="153" customWidth="1"/>
    <col min="11270" max="11270" width="12.28515625" style="153" customWidth="1"/>
    <col min="11271" max="11271" width="11.85546875" style="153" customWidth="1"/>
    <col min="11272" max="11273" width="14.5703125" style="153" customWidth="1"/>
    <col min="11274" max="11274" width="13.42578125" style="153" customWidth="1"/>
    <col min="11275" max="11275" width="16" style="153" customWidth="1"/>
    <col min="11276" max="11276" width="16.140625" style="153" customWidth="1"/>
    <col min="11277" max="11277" width="18.28515625" style="153" bestFit="1" customWidth="1"/>
    <col min="11278" max="11278" width="63.42578125" style="153" customWidth="1"/>
    <col min="11279" max="11279" width="18.7109375" style="153" customWidth="1"/>
    <col min="11280" max="11280" width="15.28515625" style="153" customWidth="1"/>
    <col min="11281" max="11281" width="16" style="153" customWidth="1"/>
    <col min="11282" max="11282" width="19.85546875" style="153" customWidth="1"/>
    <col min="11283" max="11520" width="11.5703125" style="153"/>
    <col min="11521" max="11521" width="8.85546875" style="153" customWidth="1"/>
    <col min="11522" max="11522" width="14.7109375" style="153" customWidth="1"/>
    <col min="11523" max="11523" width="84" style="153" customWidth="1"/>
    <col min="11524" max="11524" width="11.42578125" style="153" customWidth="1"/>
    <col min="11525" max="11525" width="14" style="153" customWidth="1"/>
    <col min="11526" max="11526" width="12.28515625" style="153" customWidth="1"/>
    <col min="11527" max="11527" width="11.85546875" style="153" customWidth="1"/>
    <col min="11528" max="11529" width="14.5703125" style="153" customWidth="1"/>
    <col min="11530" max="11530" width="13.42578125" style="153" customWidth="1"/>
    <col min="11531" max="11531" width="16" style="153" customWidth="1"/>
    <col min="11532" max="11532" width="16.140625" style="153" customWidth="1"/>
    <col min="11533" max="11533" width="18.28515625" style="153" bestFit="1" customWidth="1"/>
    <col min="11534" max="11534" width="63.42578125" style="153" customWidth="1"/>
    <col min="11535" max="11535" width="18.7109375" style="153" customWidth="1"/>
    <col min="11536" max="11536" width="15.28515625" style="153" customWidth="1"/>
    <col min="11537" max="11537" width="16" style="153" customWidth="1"/>
    <col min="11538" max="11538" width="19.85546875" style="153" customWidth="1"/>
    <col min="11539" max="11776" width="11.5703125" style="153"/>
    <col min="11777" max="11777" width="8.85546875" style="153" customWidth="1"/>
    <col min="11778" max="11778" width="14.7109375" style="153" customWidth="1"/>
    <col min="11779" max="11779" width="84" style="153" customWidth="1"/>
    <col min="11780" max="11780" width="11.42578125" style="153" customWidth="1"/>
    <col min="11781" max="11781" width="14" style="153" customWidth="1"/>
    <col min="11782" max="11782" width="12.28515625" style="153" customWidth="1"/>
    <col min="11783" max="11783" width="11.85546875" style="153" customWidth="1"/>
    <col min="11784" max="11785" width="14.5703125" style="153" customWidth="1"/>
    <col min="11786" max="11786" width="13.42578125" style="153" customWidth="1"/>
    <col min="11787" max="11787" width="16" style="153" customWidth="1"/>
    <col min="11788" max="11788" width="16.140625" style="153" customWidth="1"/>
    <col min="11789" max="11789" width="18.28515625" style="153" bestFit="1" customWidth="1"/>
    <col min="11790" max="11790" width="63.42578125" style="153" customWidth="1"/>
    <col min="11791" max="11791" width="18.7109375" style="153" customWidth="1"/>
    <col min="11792" max="11792" width="15.28515625" style="153" customWidth="1"/>
    <col min="11793" max="11793" width="16" style="153" customWidth="1"/>
    <col min="11794" max="11794" width="19.85546875" style="153" customWidth="1"/>
    <col min="11795" max="12032" width="11.5703125" style="153"/>
    <col min="12033" max="12033" width="8.85546875" style="153" customWidth="1"/>
    <col min="12034" max="12034" width="14.7109375" style="153" customWidth="1"/>
    <col min="12035" max="12035" width="84" style="153" customWidth="1"/>
    <col min="12036" max="12036" width="11.42578125" style="153" customWidth="1"/>
    <col min="12037" max="12037" width="14" style="153" customWidth="1"/>
    <col min="12038" max="12038" width="12.28515625" style="153" customWidth="1"/>
    <col min="12039" max="12039" width="11.85546875" style="153" customWidth="1"/>
    <col min="12040" max="12041" width="14.5703125" style="153" customWidth="1"/>
    <col min="12042" max="12042" width="13.42578125" style="153" customWidth="1"/>
    <col min="12043" max="12043" width="16" style="153" customWidth="1"/>
    <col min="12044" max="12044" width="16.140625" style="153" customWidth="1"/>
    <col min="12045" max="12045" width="18.28515625" style="153" bestFit="1" customWidth="1"/>
    <col min="12046" max="12046" width="63.42578125" style="153" customWidth="1"/>
    <col min="12047" max="12047" width="18.7109375" style="153" customWidth="1"/>
    <col min="12048" max="12048" width="15.28515625" style="153" customWidth="1"/>
    <col min="12049" max="12049" width="16" style="153" customWidth="1"/>
    <col min="12050" max="12050" width="19.85546875" style="153" customWidth="1"/>
    <col min="12051" max="12288" width="11.5703125" style="153"/>
    <col min="12289" max="12289" width="8.85546875" style="153" customWidth="1"/>
    <col min="12290" max="12290" width="14.7109375" style="153" customWidth="1"/>
    <col min="12291" max="12291" width="84" style="153" customWidth="1"/>
    <col min="12292" max="12292" width="11.42578125" style="153" customWidth="1"/>
    <col min="12293" max="12293" width="14" style="153" customWidth="1"/>
    <col min="12294" max="12294" width="12.28515625" style="153" customWidth="1"/>
    <col min="12295" max="12295" width="11.85546875" style="153" customWidth="1"/>
    <col min="12296" max="12297" width="14.5703125" style="153" customWidth="1"/>
    <col min="12298" max="12298" width="13.42578125" style="153" customWidth="1"/>
    <col min="12299" max="12299" width="16" style="153" customWidth="1"/>
    <col min="12300" max="12300" width="16.140625" style="153" customWidth="1"/>
    <col min="12301" max="12301" width="18.28515625" style="153" bestFit="1" customWidth="1"/>
    <col min="12302" max="12302" width="63.42578125" style="153" customWidth="1"/>
    <col min="12303" max="12303" width="18.7109375" style="153" customWidth="1"/>
    <col min="12304" max="12304" width="15.28515625" style="153" customWidth="1"/>
    <col min="12305" max="12305" width="16" style="153" customWidth="1"/>
    <col min="12306" max="12306" width="19.85546875" style="153" customWidth="1"/>
    <col min="12307" max="12544" width="11.5703125" style="153"/>
    <col min="12545" max="12545" width="8.85546875" style="153" customWidth="1"/>
    <col min="12546" max="12546" width="14.7109375" style="153" customWidth="1"/>
    <col min="12547" max="12547" width="84" style="153" customWidth="1"/>
    <col min="12548" max="12548" width="11.42578125" style="153" customWidth="1"/>
    <col min="12549" max="12549" width="14" style="153" customWidth="1"/>
    <col min="12550" max="12550" width="12.28515625" style="153" customWidth="1"/>
    <col min="12551" max="12551" width="11.85546875" style="153" customWidth="1"/>
    <col min="12552" max="12553" width="14.5703125" style="153" customWidth="1"/>
    <col min="12554" max="12554" width="13.42578125" style="153" customWidth="1"/>
    <col min="12555" max="12555" width="16" style="153" customWidth="1"/>
    <col min="12556" max="12556" width="16.140625" style="153" customWidth="1"/>
    <col min="12557" max="12557" width="18.28515625" style="153" bestFit="1" customWidth="1"/>
    <col min="12558" max="12558" width="63.42578125" style="153" customWidth="1"/>
    <col min="12559" max="12559" width="18.7109375" style="153" customWidth="1"/>
    <col min="12560" max="12560" width="15.28515625" style="153" customWidth="1"/>
    <col min="12561" max="12561" width="16" style="153" customWidth="1"/>
    <col min="12562" max="12562" width="19.85546875" style="153" customWidth="1"/>
    <col min="12563" max="12800" width="11.5703125" style="153"/>
    <col min="12801" max="12801" width="8.85546875" style="153" customWidth="1"/>
    <col min="12802" max="12802" width="14.7109375" style="153" customWidth="1"/>
    <col min="12803" max="12803" width="84" style="153" customWidth="1"/>
    <col min="12804" max="12804" width="11.42578125" style="153" customWidth="1"/>
    <col min="12805" max="12805" width="14" style="153" customWidth="1"/>
    <col min="12806" max="12806" width="12.28515625" style="153" customWidth="1"/>
    <col min="12807" max="12807" width="11.85546875" style="153" customWidth="1"/>
    <col min="12808" max="12809" width="14.5703125" style="153" customWidth="1"/>
    <col min="12810" max="12810" width="13.42578125" style="153" customWidth="1"/>
    <col min="12811" max="12811" width="16" style="153" customWidth="1"/>
    <col min="12812" max="12812" width="16.140625" style="153" customWidth="1"/>
    <col min="12813" max="12813" width="18.28515625" style="153" bestFit="1" customWidth="1"/>
    <col min="12814" max="12814" width="63.42578125" style="153" customWidth="1"/>
    <col min="12815" max="12815" width="18.7109375" style="153" customWidth="1"/>
    <col min="12816" max="12816" width="15.28515625" style="153" customWidth="1"/>
    <col min="12817" max="12817" width="16" style="153" customWidth="1"/>
    <col min="12818" max="12818" width="19.85546875" style="153" customWidth="1"/>
    <col min="12819" max="13056" width="11.5703125" style="153"/>
    <col min="13057" max="13057" width="8.85546875" style="153" customWidth="1"/>
    <col min="13058" max="13058" width="14.7109375" style="153" customWidth="1"/>
    <col min="13059" max="13059" width="84" style="153" customWidth="1"/>
    <col min="13060" max="13060" width="11.42578125" style="153" customWidth="1"/>
    <col min="13061" max="13061" width="14" style="153" customWidth="1"/>
    <col min="13062" max="13062" width="12.28515625" style="153" customWidth="1"/>
    <col min="13063" max="13063" width="11.85546875" style="153" customWidth="1"/>
    <col min="13064" max="13065" width="14.5703125" style="153" customWidth="1"/>
    <col min="13066" max="13066" width="13.42578125" style="153" customWidth="1"/>
    <col min="13067" max="13067" width="16" style="153" customWidth="1"/>
    <col min="13068" max="13068" width="16.140625" style="153" customWidth="1"/>
    <col min="13069" max="13069" width="18.28515625" style="153" bestFit="1" customWidth="1"/>
    <col min="13070" max="13070" width="63.42578125" style="153" customWidth="1"/>
    <col min="13071" max="13071" width="18.7109375" style="153" customWidth="1"/>
    <col min="13072" max="13072" width="15.28515625" style="153" customWidth="1"/>
    <col min="13073" max="13073" width="16" style="153" customWidth="1"/>
    <col min="13074" max="13074" width="19.85546875" style="153" customWidth="1"/>
    <col min="13075" max="13312" width="11.5703125" style="153"/>
    <col min="13313" max="13313" width="8.85546875" style="153" customWidth="1"/>
    <col min="13314" max="13314" width="14.7109375" style="153" customWidth="1"/>
    <col min="13315" max="13315" width="84" style="153" customWidth="1"/>
    <col min="13316" max="13316" width="11.42578125" style="153" customWidth="1"/>
    <col min="13317" max="13317" width="14" style="153" customWidth="1"/>
    <col min="13318" max="13318" width="12.28515625" style="153" customWidth="1"/>
    <col min="13319" max="13319" width="11.85546875" style="153" customWidth="1"/>
    <col min="13320" max="13321" width="14.5703125" style="153" customWidth="1"/>
    <col min="13322" max="13322" width="13.42578125" style="153" customWidth="1"/>
    <col min="13323" max="13323" width="16" style="153" customWidth="1"/>
    <col min="13324" max="13324" width="16.140625" style="153" customWidth="1"/>
    <col min="13325" max="13325" width="18.28515625" style="153" bestFit="1" customWidth="1"/>
    <col min="13326" max="13326" width="63.42578125" style="153" customWidth="1"/>
    <col min="13327" max="13327" width="18.7109375" style="153" customWidth="1"/>
    <col min="13328" max="13328" width="15.28515625" style="153" customWidth="1"/>
    <col min="13329" max="13329" width="16" style="153" customWidth="1"/>
    <col min="13330" max="13330" width="19.85546875" style="153" customWidth="1"/>
    <col min="13331" max="13568" width="11.5703125" style="153"/>
    <col min="13569" max="13569" width="8.85546875" style="153" customWidth="1"/>
    <col min="13570" max="13570" width="14.7109375" style="153" customWidth="1"/>
    <col min="13571" max="13571" width="84" style="153" customWidth="1"/>
    <col min="13572" max="13572" width="11.42578125" style="153" customWidth="1"/>
    <col min="13573" max="13573" width="14" style="153" customWidth="1"/>
    <col min="13574" max="13574" width="12.28515625" style="153" customWidth="1"/>
    <col min="13575" max="13575" width="11.85546875" style="153" customWidth="1"/>
    <col min="13576" max="13577" width="14.5703125" style="153" customWidth="1"/>
    <col min="13578" max="13578" width="13.42578125" style="153" customWidth="1"/>
    <col min="13579" max="13579" width="16" style="153" customWidth="1"/>
    <col min="13580" max="13580" width="16.140625" style="153" customWidth="1"/>
    <col min="13581" max="13581" width="18.28515625" style="153" bestFit="1" customWidth="1"/>
    <col min="13582" max="13582" width="63.42578125" style="153" customWidth="1"/>
    <col min="13583" max="13583" width="18.7109375" style="153" customWidth="1"/>
    <col min="13584" max="13584" width="15.28515625" style="153" customWidth="1"/>
    <col min="13585" max="13585" width="16" style="153" customWidth="1"/>
    <col min="13586" max="13586" width="19.85546875" style="153" customWidth="1"/>
    <col min="13587" max="13824" width="11.5703125" style="153"/>
    <col min="13825" max="13825" width="8.85546875" style="153" customWidth="1"/>
    <col min="13826" max="13826" width="14.7109375" style="153" customWidth="1"/>
    <col min="13827" max="13827" width="84" style="153" customWidth="1"/>
    <col min="13828" max="13828" width="11.42578125" style="153" customWidth="1"/>
    <col min="13829" max="13829" width="14" style="153" customWidth="1"/>
    <col min="13830" max="13830" width="12.28515625" style="153" customWidth="1"/>
    <col min="13831" max="13831" width="11.85546875" style="153" customWidth="1"/>
    <col min="13832" max="13833" width="14.5703125" style="153" customWidth="1"/>
    <col min="13834" max="13834" width="13.42578125" style="153" customWidth="1"/>
    <col min="13835" max="13835" width="16" style="153" customWidth="1"/>
    <col min="13836" max="13836" width="16.140625" style="153" customWidth="1"/>
    <col min="13837" max="13837" width="18.28515625" style="153" bestFit="1" customWidth="1"/>
    <col min="13838" max="13838" width="63.42578125" style="153" customWidth="1"/>
    <col min="13839" max="13839" width="18.7109375" style="153" customWidth="1"/>
    <col min="13840" max="13840" width="15.28515625" style="153" customWidth="1"/>
    <col min="13841" max="13841" width="16" style="153" customWidth="1"/>
    <col min="13842" max="13842" width="19.85546875" style="153" customWidth="1"/>
    <col min="13843" max="14080" width="11.5703125" style="153"/>
    <col min="14081" max="14081" width="8.85546875" style="153" customWidth="1"/>
    <col min="14082" max="14082" width="14.7109375" style="153" customWidth="1"/>
    <col min="14083" max="14083" width="84" style="153" customWidth="1"/>
    <col min="14084" max="14084" width="11.42578125" style="153" customWidth="1"/>
    <col min="14085" max="14085" width="14" style="153" customWidth="1"/>
    <col min="14086" max="14086" width="12.28515625" style="153" customWidth="1"/>
    <col min="14087" max="14087" width="11.85546875" style="153" customWidth="1"/>
    <col min="14088" max="14089" width="14.5703125" style="153" customWidth="1"/>
    <col min="14090" max="14090" width="13.42578125" style="153" customWidth="1"/>
    <col min="14091" max="14091" width="16" style="153" customWidth="1"/>
    <col min="14092" max="14092" width="16.140625" style="153" customWidth="1"/>
    <col min="14093" max="14093" width="18.28515625" style="153" bestFit="1" customWidth="1"/>
    <col min="14094" max="14094" width="63.42578125" style="153" customWidth="1"/>
    <col min="14095" max="14095" width="18.7109375" style="153" customWidth="1"/>
    <col min="14096" max="14096" width="15.28515625" style="153" customWidth="1"/>
    <col min="14097" max="14097" width="16" style="153" customWidth="1"/>
    <col min="14098" max="14098" width="19.85546875" style="153" customWidth="1"/>
    <col min="14099" max="14336" width="11.5703125" style="153"/>
    <col min="14337" max="14337" width="8.85546875" style="153" customWidth="1"/>
    <col min="14338" max="14338" width="14.7109375" style="153" customWidth="1"/>
    <col min="14339" max="14339" width="84" style="153" customWidth="1"/>
    <col min="14340" max="14340" width="11.42578125" style="153" customWidth="1"/>
    <col min="14341" max="14341" width="14" style="153" customWidth="1"/>
    <col min="14342" max="14342" width="12.28515625" style="153" customWidth="1"/>
    <col min="14343" max="14343" width="11.85546875" style="153" customWidth="1"/>
    <col min="14344" max="14345" width="14.5703125" style="153" customWidth="1"/>
    <col min="14346" max="14346" width="13.42578125" style="153" customWidth="1"/>
    <col min="14347" max="14347" width="16" style="153" customWidth="1"/>
    <col min="14348" max="14348" width="16.140625" style="153" customWidth="1"/>
    <col min="14349" max="14349" width="18.28515625" style="153" bestFit="1" customWidth="1"/>
    <col min="14350" max="14350" width="63.42578125" style="153" customWidth="1"/>
    <col min="14351" max="14351" width="18.7109375" style="153" customWidth="1"/>
    <col min="14352" max="14352" width="15.28515625" style="153" customWidth="1"/>
    <col min="14353" max="14353" width="16" style="153" customWidth="1"/>
    <col min="14354" max="14354" width="19.85546875" style="153" customWidth="1"/>
    <col min="14355" max="14592" width="11.5703125" style="153"/>
    <col min="14593" max="14593" width="8.85546875" style="153" customWidth="1"/>
    <col min="14594" max="14594" width="14.7109375" style="153" customWidth="1"/>
    <col min="14595" max="14595" width="84" style="153" customWidth="1"/>
    <col min="14596" max="14596" width="11.42578125" style="153" customWidth="1"/>
    <col min="14597" max="14597" width="14" style="153" customWidth="1"/>
    <col min="14598" max="14598" width="12.28515625" style="153" customWidth="1"/>
    <col min="14599" max="14599" width="11.85546875" style="153" customWidth="1"/>
    <col min="14600" max="14601" width="14.5703125" style="153" customWidth="1"/>
    <col min="14602" max="14602" width="13.42578125" style="153" customWidth="1"/>
    <col min="14603" max="14603" width="16" style="153" customWidth="1"/>
    <col min="14604" max="14604" width="16.140625" style="153" customWidth="1"/>
    <col min="14605" max="14605" width="18.28515625" style="153" bestFit="1" customWidth="1"/>
    <col min="14606" max="14606" width="63.42578125" style="153" customWidth="1"/>
    <col min="14607" max="14607" width="18.7109375" style="153" customWidth="1"/>
    <col min="14608" max="14608" width="15.28515625" style="153" customWidth="1"/>
    <col min="14609" max="14609" width="16" style="153" customWidth="1"/>
    <col min="14610" max="14610" width="19.85546875" style="153" customWidth="1"/>
    <col min="14611" max="14848" width="11.5703125" style="153"/>
    <col min="14849" max="14849" width="8.85546875" style="153" customWidth="1"/>
    <col min="14850" max="14850" width="14.7109375" style="153" customWidth="1"/>
    <col min="14851" max="14851" width="84" style="153" customWidth="1"/>
    <col min="14852" max="14852" width="11.42578125" style="153" customWidth="1"/>
    <col min="14853" max="14853" width="14" style="153" customWidth="1"/>
    <col min="14854" max="14854" width="12.28515625" style="153" customWidth="1"/>
    <col min="14855" max="14855" width="11.85546875" style="153" customWidth="1"/>
    <col min="14856" max="14857" width="14.5703125" style="153" customWidth="1"/>
    <col min="14858" max="14858" width="13.42578125" style="153" customWidth="1"/>
    <col min="14859" max="14859" width="16" style="153" customWidth="1"/>
    <col min="14860" max="14860" width="16.140625" style="153" customWidth="1"/>
    <col min="14861" max="14861" width="18.28515625" style="153" bestFit="1" customWidth="1"/>
    <col min="14862" max="14862" width="63.42578125" style="153" customWidth="1"/>
    <col min="14863" max="14863" width="18.7109375" style="153" customWidth="1"/>
    <col min="14864" max="14864" width="15.28515625" style="153" customWidth="1"/>
    <col min="14865" max="14865" width="16" style="153" customWidth="1"/>
    <col min="14866" max="14866" width="19.85546875" style="153" customWidth="1"/>
    <col min="14867" max="15104" width="11.5703125" style="153"/>
    <col min="15105" max="15105" width="8.85546875" style="153" customWidth="1"/>
    <col min="15106" max="15106" width="14.7109375" style="153" customWidth="1"/>
    <col min="15107" max="15107" width="84" style="153" customWidth="1"/>
    <col min="15108" max="15108" width="11.42578125" style="153" customWidth="1"/>
    <col min="15109" max="15109" width="14" style="153" customWidth="1"/>
    <col min="15110" max="15110" width="12.28515625" style="153" customWidth="1"/>
    <col min="15111" max="15111" width="11.85546875" style="153" customWidth="1"/>
    <col min="15112" max="15113" width="14.5703125" style="153" customWidth="1"/>
    <col min="15114" max="15114" width="13.42578125" style="153" customWidth="1"/>
    <col min="15115" max="15115" width="16" style="153" customWidth="1"/>
    <col min="15116" max="15116" width="16.140625" style="153" customWidth="1"/>
    <col min="15117" max="15117" width="18.28515625" style="153" bestFit="1" customWidth="1"/>
    <col min="15118" max="15118" width="63.42578125" style="153" customWidth="1"/>
    <col min="15119" max="15119" width="18.7109375" style="153" customWidth="1"/>
    <col min="15120" max="15120" width="15.28515625" style="153" customWidth="1"/>
    <col min="15121" max="15121" width="16" style="153" customWidth="1"/>
    <col min="15122" max="15122" width="19.85546875" style="153" customWidth="1"/>
    <col min="15123" max="15360" width="11.5703125" style="153"/>
    <col min="15361" max="15361" width="8.85546875" style="153" customWidth="1"/>
    <col min="15362" max="15362" width="14.7109375" style="153" customWidth="1"/>
    <col min="15363" max="15363" width="84" style="153" customWidth="1"/>
    <col min="15364" max="15364" width="11.42578125" style="153" customWidth="1"/>
    <col min="15365" max="15365" width="14" style="153" customWidth="1"/>
    <col min="15366" max="15366" width="12.28515625" style="153" customWidth="1"/>
    <col min="15367" max="15367" width="11.85546875" style="153" customWidth="1"/>
    <col min="15368" max="15369" width="14.5703125" style="153" customWidth="1"/>
    <col min="15370" max="15370" width="13.42578125" style="153" customWidth="1"/>
    <col min="15371" max="15371" width="16" style="153" customWidth="1"/>
    <col min="15372" max="15372" width="16.140625" style="153" customWidth="1"/>
    <col min="15373" max="15373" width="18.28515625" style="153" bestFit="1" customWidth="1"/>
    <col min="15374" max="15374" width="63.42578125" style="153" customWidth="1"/>
    <col min="15375" max="15375" width="18.7109375" style="153" customWidth="1"/>
    <col min="15376" max="15376" width="15.28515625" style="153" customWidth="1"/>
    <col min="15377" max="15377" width="16" style="153" customWidth="1"/>
    <col min="15378" max="15378" width="19.85546875" style="153" customWidth="1"/>
    <col min="15379" max="15616" width="11.5703125" style="153"/>
    <col min="15617" max="15617" width="8.85546875" style="153" customWidth="1"/>
    <col min="15618" max="15618" width="14.7109375" style="153" customWidth="1"/>
    <col min="15619" max="15619" width="84" style="153" customWidth="1"/>
    <col min="15620" max="15620" width="11.42578125" style="153" customWidth="1"/>
    <col min="15621" max="15621" width="14" style="153" customWidth="1"/>
    <col min="15622" max="15622" width="12.28515625" style="153" customWidth="1"/>
    <col min="15623" max="15623" width="11.85546875" style="153" customWidth="1"/>
    <col min="15624" max="15625" width="14.5703125" style="153" customWidth="1"/>
    <col min="15626" max="15626" width="13.42578125" style="153" customWidth="1"/>
    <col min="15627" max="15627" width="16" style="153" customWidth="1"/>
    <col min="15628" max="15628" width="16.140625" style="153" customWidth="1"/>
    <col min="15629" max="15629" width="18.28515625" style="153" bestFit="1" customWidth="1"/>
    <col min="15630" max="15630" width="63.42578125" style="153" customWidth="1"/>
    <col min="15631" max="15631" width="18.7109375" style="153" customWidth="1"/>
    <col min="15632" max="15632" width="15.28515625" style="153" customWidth="1"/>
    <col min="15633" max="15633" width="16" style="153" customWidth="1"/>
    <col min="15634" max="15634" width="19.85546875" style="153" customWidth="1"/>
    <col min="15635" max="15872" width="11.5703125" style="153"/>
    <col min="15873" max="15873" width="8.85546875" style="153" customWidth="1"/>
    <col min="15874" max="15874" width="14.7109375" style="153" customWidth="1"/>
    <col min="15875" max="15875" width="84" style="153" customWidth="1"/>
    <col min="15876" max="15876" width="11.42578125" style="153" customWidth="1"/>
    <col min="15877" max="15877" width="14" style="153" customWidth="1"/>
    <col min="15878" max="15878" width="12.28515625" style="153" customWidth="1"/>
    <col min="15879" max="15879" width="11.85546875" style="153" customWidth="1"/>
    <col min="15880" max="15881" width="14.5703125" style="153" customWidth="1"/>
    <col min="15882" max="15882" width="13.42578125" style="153" customWidth="1"/>
    <col min="15883" max="15883" width="16" style="153" customWidth="1"/>
    <col min="15884" max="15884" width="16.140625" style="153" customWidth="1"/>
    <col min="15885" max="15885" width="18.28515625" style="153" bestFit="1" customWidth="1"/>
    <col min="15886" max="15886" width="63.42578125" style="153" customWidth="1"/>
    <col min="15887" max="15887" width="18.7109375" style="153" customWidth="1"/>
    <col min="15888" max="15888" width="15.28515625" style="153" customWidth="1"/>
    <col min="15889" max="15889" width="16" style="153" customWidth="1"/>
    <col min="15890" max="15890" width="19.85546875" style="153" customWidth="1"/>
    <col min="15891" max="16128" width="11.5703125" style="153"/>
    <col min="16129" max="16129" width="8.85546875" style="153" customWidth="1"/>
    <col min="16130" max="16130" width="14.7109375" style="153" customWidth="1"/>
    <col min="16131" max="16131" width="84" style="153" customWidth="1"/>
    <col min="16132" max="16132" width="11.42578125" style="153" customWidth="1"/>
    <col min="16133" max="16133" width="14" style="153" customWidth="1"/>
    <col min="16134" max="16134" width="12.28515625" style="153" customWidth="1"/>
    <col min="16135" max="16135" width="11.85546875" style="153" customWidth="1"/>
    <col min="16136" max="16137" width="14.5703125" style="153" customWidth="1"/>
    <col min="16138" max="16138" width="13.42578125" style="153" customWidth="1"/>
    <col min="16139" max="16139" width="16" style="153" customWidth="1"/>
    <col min="16140" max="16140" width="16.140625" style="153" customWidth="1"/>
    <col min="16141" max="16141" width="18.28515625" style="153" bestFit="1" customWidth="1"/>
    <col min="16142" max="16142" width="63.42578125" style="153" customWidth="1"/>
    <col min="16143" max="16143" width="18.7109375" style="153" customWidth="1"/>
    <col min="16144" max="16144" width="15.28515625" style="153" customWidth="1"/>
    <col min="16145" max="16145" width="16" style="153" customWidth="1"/>
    <col min="16146" max="16146" width="19.85546875" style="153" customWidth="1"/>
    <col min="16147" max="16384" width="11.5703125" style="153"/>
  </cols>
  <sheetData>
    <row r="1" spans="1:25" s="128" customFormat="1" x14ac:dyDescent="0.25">
      <c r="A1" s="119"/>
      <c r="B1" s="120"/>
      <c r="C1" s="121"/>
      <c r="D1" s="121"/>
      <c r="E1" s="121"/>
      <c r="F1" s="122"/>
      <c r="G1" s="121"/>
      <c r="H1" s="121"/>
      <c r="I1" s="122"/>
      <c r="J1" s="123"/>
      <c r="K1" s="123"/>
      <c r="L1" s="124"/>
      <c r="M1" s="125"/>
      <c r="N1" s="126"/>
      <c r="O1" s="127"/>
      <c r="P1" s="126"/>
      <c r="Q1" s="126"/>
      <c r="R1" s="126"/>
      <c r="S1" s="126"/>
      <c r="T1" s="126"/>
      <c r="U1" s="126"/>
      <c r="V1" s="126"/>
      <c r="W1" s="126"/>
      <c r="X1" s="126"/>
      <c r="Y1" s="126"/>
    </row>
    <row r="2" spans="1:25" s="128" customFormat="1" ht="18.75" x14ac:dyDescent="0.2">
      <c r="A2" s="305" t="s">
        <v>269</v>
      </c>
      <c r="B2" s="129"/>
      <c r="C2" s="121"/>
      <c r="D2" s="121"/>
      <c r="E2" s="121"/>
      <c r="F2" s="122"/>
      <c r="G2" s="121"/>
      <c r="H2" s="121"/>
      <c r="I2" s="122"/>
      <c r="J2" s="123"/>
      <c r="K2" s="123"/>
      <c r="L2" s="130"/>
      <c r="M2" s="125"/>
      <c r="N2" s="126"/>
      <c r="O2" s="127"/>
      <c r="P2" s="126"/>
      <c r="Q2" s="126"/>
      <c r="R2" s="126"/>
      <c r="S2" s="126"/>
      <c r="T2" s="126"/>
      <c r="U2" s="126"/>
      <c r="V2" s="126"/>
      <c r="W2" s="126"/>
      <c r="X2" s="126"/>
      <c r="Y2" s="126"/>
    </row>
    <row r="3" spans="1:25" s="128" customFormat="1" ht="18.75" x14ac:dyDescent="0.2">
      <c r="A3" s="305"/>
      <c r="B3" s="131"/>
      <c r="C3" s="121"/>
      <c r="D3" s="121"/>
      <c r="E3" s="121"/>
      <c r="F3" s="122"/>
      <c r="G3" s="121"/>
      <c r="H3" s="121"/>
      <c r="I3" s="122"/>
      <c r="J3" s="123"/>
      <c r="K3" s="123"/>
      <c r="L3" s="130"/>
      <c r="M3" s="125"/>
      <c r="N3" s="126"/>
      <c r="O3" s="127"/>
      <c r="P3" s="126"/>
      <c r="Q3" s="126"/>
      <c r="R3" s="126"/>
      <c r="S3" s="126"/>
      <c r="T3" s="126"/>
      <c r="U3" s="126"/>
      <c r="V3" s="126"/>
      <c r="W3" s="126"/>
      <c r="X3" s="126"/>
      <c r="Y3" s="126"/>
    </row>
    <row r="4" spans="1:25" s="128" customFormat="1" ht="18.75" x14ac:dyDescent="0.2">
      <c r="A4" s="305" t="s">
        <v>270</v>
      </c>
      <c r="B4" s="131"/>
      <c r="C4" s="121"/>
      <c r="D4" s="121"/>
      <c r="E4" s="121"/>
      <c r="F4" s="122"/>
      <c r="G4" s="121"/>
      <c r="H4" s="121"/>
      <c r="I4" s="122"/>
      <c r="J4" s="123"/>
      <c r="K4" s="123"/>
      <c r="L4" s="130"/>
      <c r="M4" s="125"/>
      <c r="N4" s="126"/>
      <c r="O4" s="127"/>
      <c r="P4" s="126"/>
      <c r="Q4" s="126"/>
      <c r="R4" s="126"/>
      <c r="S4" s="126"/>
      <c r="T4" s="126"/>
      <c r="U4" s="126"/>
      <c r="V4" s="126"/>
      <c r="W4" s="126"/>
      <c r="X4" s="126"/>
      <c r="Y4" s="126"/>
    </row>
    <row r="5" spans="1:25" s="128" customFormat="1" ht="18.75" x14ac:dyDescent="0.2">
      <c r="A5" s="305"/>
      <c r="B5" s="131"/>
      <c r="C5" s="121"/>
      <c r="D5" s="121"/>
      <c r="E5" s="121"/>
      <c r="F5" s="122"/>
      <c r="G5" s="121"/>
      <c r="H5" s="121"/>
      <c r="I5" s="122"/>
      <c r="J5" s="123"/>
      <c r="K5" s="123"/>
      <c r="L5" s="130"/>
      <c r="M5" s="125"/>
      <c r="N5" s="126"/>
      <c r="O5" s="127"/>
      <c r="P5" s="126"/>
      <c r="Q5" s="126"/>
      <c r="R5" s="126"/>
      <c r="S5" s="126"/>
      <c r="T5" s="126"/>
      <c r="U5" s="126"/>
      <c r="V5" s="126"/>
      <c r="W5" s="126"/>
      <c r="X5" s="126"/>
      <c r="Y5" s="126"/>
    </row>
    <row r="6" spans="1:25" s="128" customFormat="1" ht="18.75" x14ac:dyDescent="0.2">
      <c r="A6" s="305" t="s">
        <v>271</v>
      </c>
      <c r="B6" s="132"/>
      <c r="C6" s="121"/>
      <c r="D6" s="121"/>
      <c r="E6" s="121"/>
      <c r="F6" s="122"/>
      <c r="G6" s="121"/>
      <c r="H6" s="121"/>
      <c r="I6" s="122"/>
      <c r="J6" s="123"/>
      <c r="K6" s="123"/>
      <c r="L6" s="130"/>
      <c r="M6" s="125"/>
      <c r="N6" s="126"/>
      <c r="O6" s="127"/>
      <c r="P6" s="126"/>
      <c r="Q6" s="126"/>
      <c r="R6" s="126"/>
      <c r="S6" s="126"/>
      <c r="T6" s="126"/>
      <c r="U6" s="126"/>
      <c r="V6" s="126"/>
      <c r="W6" s="126"/>
      <c r="X6" s="126"/>
      <c r="Y6" s="126"/>
    </row>
    <row r="7" spans="1:25" s="82" customFormat="1" ht="18.600000000000001" customHeight="1" x14ac:dyDescent="0.25">
      <c r="A7" s="133"/>
      <c r="B7" s="134"/>
      <c r="C7" s="134"/>
      <c r="D7" s="134"/>
      <c r="E7" s="134"/>
      <c r="F7" s="134"/>
      <c r="J7" s="135"/>
      <c r="O7" s="136"/>
    </row>
    <row r="8" spans="1:25" s="82" customFormat="1" ht="27.6" customHeight="1" x14ac:dyDescent="0.2">
      <c r="A8" s="480" t="s">
        <v>349</v>
      </c>
      <c r="B8" s="480"/>
      <c r="C8" s="480"/>
      <c r="D8" s="480"/>
      <c r="E8" s="480"/>
      <c r="F8" s="480"/>
      <c r="G8" s="480"/>
      <c r="H8" s="480"/>
      <c r="I8" s="480"/>
      <c r="J8" s="480"/>
      <c r="K8" s="480"/>
      <c r="L8" s="480"/>
      <c r="M8" s="480"/>
      <c r="N8" s="480"/>
      <c r="O8" s="81"/>
    </row>
    <row r="9" spans="1:25" s="82" customFormat="1" ht="32.25" customHeight="1" x14ac:dyDescent="0.2">
      <c r="A9" s="481" t="s">
        <v>274</v>
      </c>
      <c r="B9" s="481"/>
      <c r="C9" s="481"/>
      <c r="D9" s="481"/>
      <c r="E9" s="481"/>
      <c r="F9" s="481"/>
      <c r="G9" s="481"/>
      <c r="H9" s="481"/>
      <c r="I9" s="481"/>
      <c r="J9" s="481"/>
      <c r="K9" s="481"/>
      <c r="L9" s="481"/>
      <c r="M9" s="481"/>
      <c r="N9" s="481"/>
      <c r="O9" s="81"/>
    </row>
    <row r="10" spans="1:25" s="140" customFormat="1" ht="46.5" customHeight="1" x14ac:dyDescent="0.25">
      <c r="A10" s="482" t="s">
        <v>307</v>
      </c>
      <c r="B10" s="482"/>
      <c r="C10" s="482"/>
      <c r="D10" s="482"/>
      <c r="E10" s="482"/>
      <c r="F10" s="482"/>
      <c r="G10" s="482"/>
      <c r="H10" s="482"/>
      <c r="I10" s="482"/>
      <c r="J10" s="482"/>
      <c r="K10" s="482"/>
      <c r="L10" s="482"/>
      <c r="M10" s="482"/>
      <c r="N10" s="482"/>
      <c r="O10" s="137"/>
      <c r="P10" s="138"/>
      <c r="Q10" s="139"/>
      <c r="R10" s="139"/>
      <c r="S10" s="139"/>
    </row>
    <row r="11" spans="1:25" s="413" customFormat="1" ht="19.149999999999999" customHeight="1" x14ac:dyDescent="0.2">
      <c r="C11" s="414"/>
      <c r="D11" s="415"/>
      <c r="E11" s="415"/>
      <c r="F11" s="415"/>
      <c r="G11" s="415"/>
      <c r="H11" s="416"/>
      <c r="I11" s="417"/>
      <c r="J11" s="418"/>
      <c r="K11" s="419"/>
      <c r="L11" s="419"/>
      <c r="M11" s="420"/>
      <c r="N11" s="300" t="s">
        <v>308</v>
      </c>
      <c r="O11" s="421"/>
    </row>
    <row r="12" spans="1:25" s="413" customFormat="1" ht="19.149999999999999" customHeight="1" x14ac:dyDescent="0.2">
      <c r="A12" s="422"/>
      <c r="B12" s="258" t="s">
        <v>90</v>
      </c>
      <c r="C12" s="414"/>
      <c r="D12" s="415"/>
      <c r="E12" s="415"/>
      <c r="F12" s="415"/>
      <c r="G12" s="415"/>
      <c r="H12" s="416"/>
      <c r="I12" s="417"/>
      <c r="J12" s="418"/>
      <c r="K12" s="419"/>
      <c r="L12" s="419"/>
      <c r="M12" s="420"/>
      <c r="N12" s="300" t="s">
        <v>329</v>
      </c>
      <c r="O12" s="421"/>
    </row>
    <row r="13" spans="1:25" s="91" customFormat="1" ht="18.75" customHeight="1" thickBot="1" x14ac:dyDescent="0.3">
      <c r="A13" s="83"/>
      <c r="B13" s="83"/>
      <c r="C13" s="84"/>
      <c r="D13" s="85"/>
      <c r="E13" s="86"/>
      <c r="F13" s="87"/>
      <c r="G13" s="88"/>
      <c r="H13" s="88"/>
      <c r="I13" s="88"/>
      <c r="J13" s="89"/>
      <c r="K13" s="89"/>
      <c r="L13" s="90"/>
      <c r="N13" s="80"/>
      <c r="O13" s="92"/>
    </row>
    <row r="14" spans="1:25" s="398" customFormat="1" ht="37.5" customHeight="1" x14ac:dyDescent="0.2">
      <c r="A14" s="483" t="s">
        <v>91</v>
      </c>
      <c r="B14" s="485" t="s">
        <v>92</v>
      </c>
      <c r="C14" s="485" t="s">
        <v>93</v>
      </c>
      <c r="D14" s="485" t="s">
        <v>94</v>
      </c>
      <c r="E14" s="485" t="s">
        <v>95</v>
      </c>
      <c r="F14" s="485" t="s">
        <v>96</v>
      </c>
      <c r="G14" s="487" t="s">
        <v>97</v>
      </c>
      <c r="H14" s="489" t="s">
        <v>98</v>
      </c>
      <c r="I14" s="490"/>
      <c r="J14" s="490"/>
      <c r="K14" s="489" t="s">
        <v>99</v>
      </c>
      <c r="L14" s="490"/>
      <c r="M14" s="491"/>
      <c r="N14" s="492" t="s">
        <v>6</v>
      </c>
      <c r="O14" s="397"/>
    </row>
    <row r="15" spans="1:25" s="398" customFormat="1" ht="30.75" customHeight="1" x14ac:dyDescent="0.2">
      <c r="A15" s="484"/>
      <c r="B15" s="486"/>
      <c r="C15" s="486"/>
      <c r="D15" s="486"/>
      <c r="E15" s="486"/>
      <c r="F15" s="486"/>
      <c r="G15" s="488"/>
      <c r="H15" s="275" t="s">
        <v>100</v>
      </c>
      <c r="I15" s="323" t="s">
        <v>101</v>
      </c>
      <c r="J15" s="276" t="s">
        <v>102</v>
      </c>
      <c r="K15" s="275" t="s">
        <v>100</v>
      </c>
      <c r="L15" s="323" t="s">
        <v>101</v>
      </c>
      <c r="M15" s="261" t="s">
        <v>102</v>
      </c>
      <c r="N15" s="477"/>
      <c r="O15" s="397"/>
    </row>
    <row r="16" spans="1:25" s="400" customFormat="1" ht="23.25" customHeight="1" x14ac:dyDescent="0.2">
      <c r="A16" s="277">
        <v>1</v>
      </c>
      <c r="B16" s="278">
        <v>2</v>
      </c>
      <c r="C16" s="279">
        <v>3</v>
      </c>
      <c r="D16" s="279">
        <v>4</v>
      </c>
      <c r="E16" s="279">
        <v>5</v>
      </c>
      <c r="F16" s="279">
        <v>6</v>
      </c>
      <c r="G16" s="280">
        <v>7</v>
      </c>
      <c r="H16" s="281">
        <v>8</v>
      </c>
      <c r="I16" s="279">
        <v>9</v>
      </c>
      <c r="J16" s="282">
        <v>10</v>
      </c>
      <c r="K16" s="281">
        <v>11</v>
      </c>
      <c r="L16" s="279">
        <v>12</v>
      </c>
      <c r="M16" s="283">
        <v>13</v>
      </c>
      <c r="N16" s="322">
        <v>14</v>
      </c>
      <c r="O16" s="399"/>
    </row>
    <row r="17" spans="1:15" s="402" customFormat="1" ht="30" customHeight="1" x14ac:dyDescent="0.2">
      <c r="A17" s="493" t="s">
        <v>309</v>
      </c>
      <c r="B17" s="494"/>
      <c r="C17" s="495"/>
      <c r="D17" s="172"/>
      <c r="E17" s="173"/>
      <c r="F17" s="173"/>
      <c r="G17" s="174"/>
      <c r="H17" s="175"/>
      <c r="I17" s="176"/>
      <c r="J17" s="177"/>
      <c r="K17" s="178"/>
      <c r="L17" s="176"/>
      <c r="M17" s="177"/>
      <c r="N17" s="179"/>
      <c r="O17" s="401"/>
    </row>
    <row r="18" spans="1:15" s="402" customFormat="1" ht="30" customHeight="1" x14ac:dyDescent="0.2">
      <c r="A18" s="472" t="s">
        <v>103</v>
      </c>
      <c r="B18" s="473"/>
      <c r="C18" s="474"/>
      <c r="D18" s="180"/>
      <c r="E18" s="181"/>
      <c r="F18" s="181"/>
      <c r="G18" s="182"/>
      <c r="H18" s="183"/>
      <c r="I18" s="184"/>
      <c r="J18" s="185"/>
      <c r="K18" s="186">
        <f>K19+K25</f>
        <v>0</v>
      </c>
      <c r="L18" s="184">
        <f>L19+L25</f>
        <v>0</v>
      </c>
      <c r="M18" s="185">
        <f>K18+L18</f>
        <v>0</v>
      </c>
      <c r="N18" s="187"/>
      <c r="O18" s="401"/>
    </row>
    <row r="19" spans="1:15" s="402" customFormat="1" ht="30" customHeight="1" x14ac:dyDescent="0.2">
      <c r="A19" s="229">
        <v>1</v>
      </c>
      <c r="B19" s="231"/>
      <c r="C19" s="231" t="s">
        <v>104</v>
      </c>
      <c r="D19" s="231"/>
      <c r="E19" s="230"/>
      <c r="F19" s="230"/>
      <c r="G19" s="274"/>
      <c r="H19" s="233"/>
      <c r="I19" s="234"/>
      <c r="J19" s="235"/>
      <c r="K19" s="236">
        <f>SUM(K20:K24)</f>
        <v>0</v>
      </c>
      <c r="L19" s="234">
        <f>SUM(L20:L24)</f>
        <v>0</v>
      </c>
      <c r="M19" s="235">
        <f>K19+L19</f>
        <v>0</v>
      </c>
      <c r="N19" s="237"/>
      <c r="O19" s="401"/>
    </row>
    <row r="20" spans="1:15" s="408" customFormat="1" ht="39.75" customHeight="1" outlineLevel="1" x14ac:dyDescent="0.2">
      <c r="A20" s="160" t="s">
        <v>105</v>
      </c>
      <c r="B20" s="225" t="s">
        <v>106</v>
      </c>
      <c r="C20" s="226" t="s">
        <v>253</v>
      </c>
      <c r="D20" s="161"/>
      <c r="E20" s="161" t="s">
        <v>89</v>
      </c>
      <c r="F20" s="161"/>
      <c r="G20" s="227">
        <v>4849.51</v>
      </c>
      <c r="H20" s="271"/>
      <c r="I20" s="245"/>
      <c r="J20" s="163">
        <f>H20+I20</f>
        <v>0</v>
      </c>
      <c r="K20" s="197">
        <f>G20*H20</f>
        <v>0</v>
      </c>
      <c r="L20" s="272">
        <f>G20*I20</f>
        <v>0</v>
      </c>
      <c r="M20" s="163">
        <f t="shared" ref="M20" si="0">K20+L20</f>
        <v>0</v>
      </c>
      <c r="N20" s="228"/>
      <c r="O20" s="375"/>
    </row>
    <row r="21" spans="1:15" s="408" customFormat="1" ht="41.25" customHeight="1" outlineLevel="1" x14ac:dyDescent="0.2">
      <c r="A21" s="160" t="s">
        <v>107</v>
      </c>
      <c r="B21" s="225" t="s">
        <v>108</v>
      </c>
      <c r="C21" s="226" t="s">
        <v>254</v>
      </c>
      <c r="D21" s="161"/>
      <c r="E21" s="273" t="s">
        <v>109</v>
      </c>
      <c r="F21" s="161"/>
      <c r="G21" s="227">
        <v>270</v>
      </c>
      <c r="H21" s="271"/>
      <c r="I21" s="245"/>
      <c r="J21" s="163">
        <f t="shared" ref="J21:J23" si="1">H21+I21</f>
        <v>0</v>
      </c>
      <c r="K21" s="197">
        <f t="shared" ref="K21:K23" si="2">G21*H21</f>
        <v>0</v>
      </c>
      <c r="L21" s="272">
        <f t="shared" ref="L21:L23" si="3">G21*I21</f>
        <v>0</v>
      </c>
      <c r="M21" s="163">
        <f t="shared" ref="M21:M23" si="4">K21+L21</f>
        <v>0</v>
      </c>
      <c r="N21" s="228"/>
      <c r="O21" s="375"/>
    </row>
    <row r="22" spans="1:15" s="408" customFormat="1" ht="33.75" customHeight="1" outlineLevel="1" x14ac:dyDescent="0.2">
      <c r="A22" s="160" t="s">
        <v>252</v>
      </c>
      <c r="B22" s="225" t="s">
        <v>108</v>
      </c>
      <c r="C22" s="226" t="s">
        <v>343</v>
      </c>
      <c r="D22" s="161"/>
      <c r="E22" s="273" t="s">
        <v>109</v>
      </c>
      <c r="F22" s="161"/>
      <c r="G22" s="227">
        <v>154.88</v>
      </c>
      <c r="H22" s="271"/>
      <c r="I22" s="245"/>
      <c r="J22" s="163">
        <f t="shared" si="1"/>
        <v>0</v>
      </c>
      <c r="K22" s="197">
        <f t="shared" si="2"/>
        <v>0</v>
      </c>
      <c r="L22" s="272">
        <f t="shared" si="3"/>
        <v>0</v>
      </c>
      <c r="M22" s="163">
        <f t="shared" si="4"/>
        <v>0</v>
      </c>
      <c r="N22" s="228"/>
      <c r="O22" s="375"/>
    </row>
    <row r="23" spans="1:15" s="408" customFormat="1" ht="33.75" customHeight="1" outlineLevel="1" x14ac:dyDescent="0.2">
      <c r="A23" s="160" t="s">
        <v>258</v>
      </c>
      <c r="B23" s="225" t="s">
        <v>255</v>
      </c>
      <c r="C23" s="226" t="s">
        <v>260</v>
      </c>
      <c r="D23" s="161"/>
      <c r="E23" s="273" t="s">
        <v>256</v>
      </c>
      <c r="F23" s="425"/>
      <c r="G23" s="227">
        <v>2</v>
      </c>
      <c r="H23" s="271"/>
      <c r="I23" s="245"/>
      <c r="J23" s="163">
        <f t="shared" si="1"/>
        <v>0</v>
      </c>
      <c r="K23" s="197">
        <f t="shared" si="2"/>
        <v>0</v>
      </c>
      <c r="L23" s="272">
        <f t="shared" si="3"/>
        <v>0</v>
      </c>
      <c r="M23" s="163">
        <f t="shared" si="4"/>
        <v>0</v>
      </c>
      <c r="N23" s="228"/>
      <c r="O23" s="375"/>
    </row>
    <row r="24" spans="1:15" s="408" customFormat="1" ht="33.75" customHeight="1" outlineLevel="1" x14ac:dyDescent="0.2">
      <c r="A24" s="160" t="s">
        <v>344</v>
      </c>
      <c r="B24" s="225" t="s">
        <v>257</v>
      </c>
      <c r="C24" s="226" t="s">
        <v>259</v>
      </c>
      <c r="D24" s="161"/>
      <c r="E24" s="273" t="s">
        <v>256</v>
      </c>
      <c r="F24" s="161"/>
      <c r="G24" s="227">
        <v>1</v>
      </c>
      <c r="H24" s="271"/>
      <c r="I24" s="245"/>
      <c r="J24" s="163">
        <f t="shared" ref="J24" si="5">H24+I24</f>
        <v>0</v>
      </c>
      <c r="K24" s="197">
        <f t="shared" ref="K24" si="6">G24*H24</f>
        <v>0</v>
      </c>
      <c r="L24" s="272">
        <f t="shared" ref="L24" si="7">G24*I24</f>
        <v>0</v>
      </c>
      <c r="M24" s="163">
        <f t="shared" ref="M24" si="8">K24+L24</f>
        <v>0</v>
      </c>
      <c r="N24" s="228"/>
      <c r="O24" s="375"/>
    </row>
    <row r="25" spans="1:15" s="402" customFormat="1" ht="30" customHeight="1" x14ac:dyDescent="0.2">
      <c r="A25" s="229">
        <v>2</v>
      </c>
      <c r="B25" s="230" t="s">
        <v>110</v>
      </c>
      <c r="C25" s="231" t="s">
        <v>111</v>
      </c>
      <c r="D25" s="231"/>
      <c r="E25" s="230"/>
      <c r="F25" s="230"/>
      <c r="G25" s="232"/>
      <c r="H25" s="233"/>
      <c r="I25" s="234"/>
      <c r="J25" s="235"/>
      <c r="K25" s="236">
        <f>SUM(K26:K29)</f>
        <v>0</v>
      </c>
      <c r="L25" s="234">
        <f>SUM(L26:L29)</f>
        <v>0</v>
      </c>
      <c r="M25" s="235">
        <f>K25+L25</f>
        <v>0</v>
      </c>
      <c r="N25" s="237"/>
      <c r="O25" s="401"/>
    </row>
    <row r="26" spans="1:15" s="408" customFormat="1" ht="39" customHeight="1" outlineLevel="1" x14ac:dyDescent="0.2">
      <c r="A26" s="160" t="s">
        <v>112</v>
      </c>
      <c r="B26" s="225"/>
      <c r="C26" s="226" t="s">
        <v>113</v>
      </c>
      <c r="D26" s="161"/>
      <c r="E26" s="161" t="s">
        <v>89</v>
      </c>
      <c r="F26" s="161"/>
      <c r="G26" s="227">
        <f>G31+G43+G52+G63+G71+G81+G90+G105+G114+G128</f>
        <v>7561.05</v>
      </c>
      <c r="H26" s="202"/>
      <c r="I26" s="162"/>
      <c r="J26" s="163">
        <f>H26+I26</f>
        <v>0</v>
      </c>
      <c r="K26" s="164">
        <f>G26*H26</f>
        <v>0</v>
      </c>
      <c r="L26" s="165">
        <f>G26*I26</f>
        <v>0</v>
      </c>
      <c r="M26" s="163">
        <f>K26+L26</f>
        <v>0</v>
      </c>
      <c r="N26" s="207"/>
      <c r="O26" s="375"/>
    </row>
    <row r="27" spans="1:15" s="408" customFormat="1" ht="35.25" customHeight="1" outlineLevel="1" x14ac:dyDescent="0.2">
      <c r="A27" s="160" t="s">
        <v>114</v>
      </c>
      <c r="B27" s="225"/>
      <c r="C27" s="226" t="s">
        <v>273</v>
      </c>
      <c r="D27" s="161"/>
      <c r="E27" s="161" t="s">
        <v>115</v>
      </c>
      <c r="F27" s="161"/>
      <c r="G27" s="227">
        <v>1300</v>
      </c>
      <c r="H27" s="271"/>
      <c r="I27" s="162"/>
      <c r="J27" s="163">
        <f>H27+I27</f>
        <v>0</v>
      </c>
      <c r="K27" s="164">
        <f>G27*H27</f>
        <v>0</v>
      </c>
      <c r="L27" s="165">
        <f>G27*I27</f>
        <v>0</v>
      </c>
      <c r="M27" s="163">
        <f>K27+L27</f>
        <v>0</v>
      </c>
      <c r="N27" s="228"/>
      <c r="O27" s="375"/>
    </row>
    <row r="28" spans="1:15" s="408" customFormat="1" ht="51.75" customHeight="1" outlineLevel="1" x14ac:dyDescent="0.2">
      <c r="A28" s="240" t="s">
        <v>249</v>
      </c>
      <c r="B28" s="198"/>
      <c r="C28" s="193" t="s">
        <v>248</v>
      </c>
      <c r="D28" s="241">
        <v>0.2</v>
      </c>
      <c r="E28" s="241" t="s">
        <v>115</v>
      </c>
      <c r="F28" s="242"/>
      <c r="G28" s="243">
        <f>D28*G63</f>
        <v>90.600000000000009</v>
      </c>
      <c r="H28" s="244">
        <f>F29*H29</f>
        <v>0</v>
      </c>
      <c r="I28" s="162"/>
      <c r="J28" s="243">
        <f>H28+I28</f>
        <v>0</v>
      </c>
      <c r="K28" s="246">
        <f>G28*H28</f>
        <v>0</v>
      </c>
      <c r="L28" s="247">
        <f>G28*I28</f>
        <v>0</v>
      </c>
      <c r="M28" s="243">
        <f>K28+L28</f>
        <v>0</v>
      </c>
      <c r="N28" s="257" t="s">
        <v>347</v>
      </c>
      <c r="O28" s="375"/>
    </row>
    <row r="29" spans="1:15" s="408" customFormat="1" ht="33" customHeight="1" outlineLevel="1" x14ac:dyDescent="0.2">
      <c r="A29" s="248" t="s">
        <v>250</v>
      </c>
      <c r="B29" s="198">
        <v>4100004410</v>
      </c>
      <c r="C29" s="194" t="s">
        <v>132</v>
      </c>
      <c r="D29" s="250"/>
      <c r="E29" s="249" t="s">
        <v>115</v>
      </c>
      <c r="F29" s="250">
        <v>1.1000000000000001</v>
      </c>
      <c r="G29" s="251">
        <f>F29*G28</f>
        <v>99.660000000000011</v>
      </c>
      <c r="H29" s="252"/>
      <c r="I29" s="253"/>
      <c r="J29" s="254"/>
      <c r="K29" s="255"/>
      <c r="L29" s="253"/>
      <c r="M29" s="254"/>
      <c r="N29" s="256"/>
      <c r="O29" s="375"/>
    </row>
    <row r="30" spans="1:15" s="402" customFormat="1" ht="30" customHeight="1" x14ac:dyDescent="0.2">
      <c r="A30" s="472" t="s">
        <v>342</v>
      </c>
      <c r="B30" s="473"/>
      <c r="C30" s="474"/>
      <c r="D30" s="180"/>
      <c r="E30" s="181"/>
      <c r="F30" s="181"/>
      <c r="G30" s="182"/>
      <c r="H30" s="183"/>
      <c r="I30" s="184"/>
      <c r="J30" s="185"/>
      <c r="K30" s="186">
        <f>K31+K43+K52+K63+K71+K81+K90+K99+K105+K114+K128+K130+K137+K139+K144+K146</f>
        <v>0</v>
      </c>
      <c r="L30" s="184">
        <f>L31+L43+L52+L63+L71+L81+L90+L99+L105+L114+L128+L130+L137+L139+L144+L146</f>
        <v>0</v>
      </c>
      <c r="M30" s="185">
        <f>L30+K30</f>
        <v>0</v>
      </c>
      <c r="N30" s="187"/>
      <c r="O30" s="401"/>
    </row>
    <row r="31" spans="1:15" s="318" customFormat="1" ht="30" customHeight="1" x14ac:dyDescent="0.25">
      <c r="A31" s="205">
        <v>3</v>
      </c>
      <c r="B31" s="239" t="s">
        <v>116</v>
      </c>
      <c r="C31" s="188" t="s">
        <v>117</v>
      </c>
      <c r="D31" s="189">
        <f>SUM(D32:D42)</f>
        <v>0.9</v>
      </c>
      <c r="E31" s="189" t="s">
        <v>89</v>
      </c>
      <c r="F31" s="189"/>
      <c r="G31" s="190">
        <v>2231.0100000000002</v>
      </c>
      <c r="H31" s="191"/>
      <c r="I31" s="192"/>
      <c r="J31" s="190"/>
      <c r="K31" s="191">
        <f>SUM(K32:K42)</f>
        <v>0</v>
      </c>
      <c r="L31" s="192">
        <f>SUM(L32:L42)</f>
        <v>0</v>
      </c>
      <c r="M31" s="190">
        <f>K31+L31</f>
        <v>0</v>
      </c>
      <c r="N31" s="206"/>
      <c r="O31" s="317"/>
    </row>
    <row r="32" spans="1:15" s="319" customFormat="1" ht="33" customHeight="1" outlineLevel="1" x14ac:dyDescent="0.25">
      <c r="A32" s="160" t="s">
        <v>118</v>
      </c>
      <c r="B32" s="161"/>
      <c r="C32" s="193" t="s">
        <v>119</v>
      </c>
      <c r="D32" s="161">
        <v>0.04</v>
      </c>
      <c r="E32" s="161" t="s">
        <v>89</v>
      </c>
      <c r="F32" s="196"/>
      <c r="G32" s="163">
        <f>G31</f>
        <v>2231.0100000000002</v>
      </c>
      <c r="H32" s="197">
        <f>F33*H33</f>
        <v>0</v>
      </c>
      <c r="I32" s="162"/>
      <c r="J32" s="163">
        <f>H32+I32</f>
        <v>0</v>
      </c>
      <c r="K32" s="164">
        <f>G32*H32</f>
        <v>0</v>
      </c>
      <c r="L32" s="165">
        <f>G32*I32</f>
        <v>0</v>
      </c>
      <c r="M32" s="163">
        <f>K32+L32</f>
        <v>0</v>
      </c>
      <c r="N32" s="207"/>
      <c r="O32" s="264"/>
    </row>
    <row r="33" spans="1:15" s="321" customFormat="1" ht="30" customHeight="1" outlineLevel="1" x14ac:dyDescent="0.25">
      <c r="A33" s="204" t="s">
        <v>120</v>
      </c>
      <c r="B33" s="198">
        <v>4100008562</v>
      </c>
      <c r="C33" s="194" t="s">
        <v>121</v>
      </c>
      <c r="D33" s="195"/>
      <c r="E33" s="195" t="s">
        <v>122</v>
      </c>
      <c r="F33" s="198">
        <v>9.74E-2</v>
      </c>
      <c r="G33" s="199">
        <f>G32*F33</f>
        <v>217.30037400000003</v>
      </c>
      <c r="H33" s="200"/>
      <c r="I33" s="201"/>
      <c r="J33" s="199"/>
      <c r="K33" s="202"/>
      <c r="L33" s="201"/>
      <c r="M33" s="199"/>
      <c r="N33" s="208"/>
      <c r="O33" s="320"/>
    </row>
    <row r="34" spans="1:15" s="319" customFormat="1" ht="33" customHeight="1" outlineLevel="1" x14ac:dyDescent="0.25">
      <c r="A34" s="160" t="s">
        <v>123</v>
      </c>
      <c r="B34" s="161"/>
      <c r="C34" s="193" t="s">
        <v>240</v>
      </c>
      <c r="D34" s="161">
        <v>0.06</v>
      </c>
      <c r="E34" s="161" t="s">
        <v>89</v>
      </c>
      <c r="F34" s="196"/>
      <c r="G34" s="163">
        <f>G31</f>
        <v>2231.0100000000002</v>
      </c>
      <c r="H34" s="197">
        <f>F35*H35</f>
        <v>0</v>
      </c>
      <c r="I34" s="162"/>
      <c r="J34" s="163">
        <f>H34+I34</f>
        <v>0</v>
      </c>
      <c r="K34" s="164">
        <f>G34*H34</f>
        <v>0</v>
      </c>
      <c r="L34" s="165">
        <f>G34*I34</f>
        <v>0</v>
      </c>
      <c r="M34" s="163">
        <f>K34+L34</f>
        <v>0</v>
      </c>
      <c r="N34" s="207"/>
      <c r="O34" s="264"/>
    </row>
    <row r="35" spans="1:15" s="321" customFormat="1" ht="30" customHeight="1" outlineLevel="1" x14ac:dyDescent="0.25">
      <c r="A35" s="204" t="s">
        <v>124</v>
      </c>
      <c r="B35" s="198">
        <v>4100012416</v>
      </c>
      <c r="C35" s="203" t="s">
        <v>125</v>
      </c>
      <c r="D35" s="195"/>
      <c r="E35" s="195" t="s">
        <v>122</v>
      </c>
      <c r="F35" s="198">
        <v>0.13950000000000001</v>
      </c>
      <c r="G35" s="199">
        <f>G34*F35</f>
        <v>311.22589500000004</v>
      </c>
      <c r="H35" s="200"/>
      <c r="I35" s="201"/>
      <c r="J35" s="199"/>
      <c r="K35" s="202"/>
      <c r="L35" s="201"/>
      <c r="M35" s="199"/>
      <c r="N35" s="208"/>
      <c r="O35" s="320"/>
    </row>
    <row r="36" spans="1:15" s="319" customFormat="1" ht="33" customHeight="1" outlineLevel="1" x14ac:dyDescent="0.25">
      <c r="A36" s="160" t="s">
        <v>126</v>
      </c>
      <c r="B36" s="161"/>
      <c r="C36" s="193" t="s">
        <v>244</v>
      </c>
      <c r="D36" s="161">
        <v>0.25</v>
      </c>
      <c r="E36" s="161" t="s">
        <v>115</v>
      </c>
      <c r="F36" s="196"/>
      <c r="G36" s="163">
        <f>G31*D36</f>
        <v>557.75250000000005</v>
      </c>
      <c r="H36" s="197">
        <f>(G37*H37+G38*H38)/G36</f>
        <v>0</v>
      </c>
      <c r="I36" s="162"/>
      <c r="J36" s="163">
        <f>H36+I36</f>
        <v>0</v>
      </c>
      <c r="K36" s="164">
        <f>G36*H36</f>
        <v>0</v>
      </c>
      <c r="L36" s="165">
        <f>G36*I36</f>
        <v>0</v>
      </c>
      <c r="M36" s="163">
        <f>K36+L36</f>
        <v>0</v>
      </c>
      <c r="N36" s="207"/>
      <c r="O36" s="264"/>
    </row>
    <row r="37" spans="1:15" s="321" customFormat="1" ht="30" customHeight="1" outlineLevel="1" x14ac:dyDescent="0.25">
      <c r="A37" s="204" t="s">
        <v>127</v>
      </c>
      <c r="B37" s="198">
        <v>4100008425</v>
      </c>
      <c r="C37" s="194" t="s">
        <v>128</v>
      </c>
      <c r="D37" s="198"/>
      <c r="E37" s="198" t="s">
        <v>115</v>
      </c>
      <c r="F37" s="201">
        <v>1.24</v>
      </c>
      <c r="G37" s="199">
        <f>F37*G36</f>
        <v>691.61310000000003</v>
      </c>
      <c r="H37" s="200"/>
      <c r="I37" s="201"/>
      <c r="J37" s="199"/>
      <c r="K37" s="202"/>
      <c r="L37" s="201"/>
      <c r="M37" s="199"/>
      <c r="N37" s="208"/>
      <c r="O37" s="320"/>
    </row>
    <row r="38" spans="1:15" s="321" customFormat="1" ht="30" customHeight="1" outlineLevel="1" x14ac:dyDescent="0.25">
      <c r="A38" s="204" t="s">
        <v>129</v>
      </c>
      <c r="B38" s="238">
        <v>4100008426</v>
      </c>
      <c r="C38" s="194" t="s">
        <v>241</v>
      </c>
      <c r="D38" s="198"/>
      <c r="E38" s="198" t="s">
        <v>115</v>
      </c>
      <c r="F38" s="201">
        <v>0.1</v>
      </c>
      <c r="G38" s="199">
        <f>F38*G36</f>
        <v>55.775250000000007</v>
      </c>
      <c r="H38" s="200"/>
      <c r="I38" s="201"/>
      <c r="J38" s="199"/>
      <c r="K38" s="202"/>
      <c r="L38" s="201"/>
      <c r="M38" s="199"/>
      <c r="N38" s="208"/>
      <c r="O38" s="320"/>
    </row>
    <row r="39" spans="1:15" s="319" customFormat="1" ht="33" customHeight="1" outlineLevel="1" x14ac:dyDescent="0.25">
      <c r="A39" s="204" t="s">
        <v>130</v>
      </c>
      <c r="B39" s="198"/>
      <c r="C39" s="193" t="s">
        <v>291</v>
      </c>
      <c r="D39" s="161">
        <v>0.55000000000000004</v>
      </c>
      <c r="E39" s="161" t="s">
        <v>115</v>
      </c>
      <c r="F39" s="196"/>
      <c r="G39" s="163">
        <f>G31*D39</f>
        <v>1227.0555000000002</v>
      </c>
      <c r="H39" s="197">
        <f>F40*H40</f>
        <v>0</v>
      </c>
      <c r="I39" s="162"/>
      <c r="J39" s="163">
        <f>H39+I39</f>
        <v>0</v>
      </c>
      <c r="K39" s="164">
        <f>G39*H39</f>
        <v>0</v>
      </c>
      <c r="L39" s="165">
        <f>G39*I39</f>
        <v>0</v>
      </c>
      <c r="M39" s="163">
        <f>K39+L39</f>
        <v>0</v>
      </c>
      <c r="N39" s="207"/>
      <c r="O39" s="264"/>
    </row>
    <row r="40" spans="1:15" s="321" customFormat="1" ht="30" customHeight="1" outlineLevel="1" x14ac:dyDescent="0.25">
      <c r="A40" s="160" t="s">
        <v>131</v>
      </c>
      <c r="B40" s="198">
        <v>4100004410</v>
      </c>
      <c r="C40" s="194" t="s">
        <v>132</v>
      </c>
      <c r="D40" s="195"/>
      <c r="E40" s="195" t="s">
        <v>115</v>
      </c>
      <c r="F40" s="198">
        <v>1.1000000000000001</v>
      </c>
      <c r="G40" s="199">
        <f>F40*G39</f>
        <v>1349.7610500000003</v>
      </c>
      <c r="H40" s="200"/>
      <c r="I40" s="201"/>
      <c r="J40" s="199"/>
      <c r="K40" s="202"/>
      <c r="L40" s="201"/>
      <c r="M40" s="199"/>
      <c r="N40" s="208"/>
      <c r="O40" s="320"/>
    </row>
    <row r="41" spans="1:15" s="319" customFormat="1" ht="27.75" customHeight="1" outlineLevel="1" x14ac:dyDescent="0.25">
      <c r="A41" s="160" t="s">
        <v>133</v>
      </c>
      <c r="B41" s="161"/>
      <c r="C41" s="193" t="s">
        <v>134</v>
      </c>
      <c r="D41" s="161"/>
      <c r="E41" s="161" t="s">
        <v>89</v>
      </c>
      <c r="F41" s="196"/>
      <c r="G41" s="163">
        <f>G31</f>
        <v>2231.0100000000002</v>
      </c>
      <c r="H41" s="197">
        <f>F42*H42</f>
        <v>0</v>
      </c>
      <c r="I41" s="162"/>
      <c r="J41" s="163">
        <f>H41+I41</f>
        <v>0</v>
      </c>
      <c r="K41" s="164">
        <f>G41*H41</f>
        <v>0</v>
      </c>
      <c r="L41" s="165">
        <f>G41*I41</f>
        <v>0</v>
      </c>
      <c r="M41" s="163">
        <f>K41+L41</f>
        <v>0</v>
      </c>
      <c r="N41" s="207"/>
      <c r="O41" s="264"/>
    </row>
    <row r="42" spans="1:15" s="321" customFormat="1" ht="30" customHeight="1" outlineLevel="1" x14ac:dyDescent="0.25">
      <c r="A42" s="204" t="s">
        <v>135</v>
      </c>
      <c r="B42" s="198">
        <v>4100001008</v>
      </c>
      <c r="C42" s="194" t="s">
        <v>146</v>
      </c>
      <c r="D42" s="195"/>
      <c r="E42" s="195" t="s">
        <v>89</v>
      </c>
      <c r="F42" s="198">
        <v>1.1000000000000001</v>
      </c>
      <c r="G42" s="199">
        <f>F42*G41</f>
        <v>2454.1110000000003</v>
      </c>
      <c r="H42" s="200"/>
      <c r="I42" s="201"/>
      <c r="J42" s="199"/>
      <c r="K42" s="202"/>
      <c r="L42" s="201"/>
      <c r="M42" s="199"/>
      <c r="N42" s="208"/>
      <c r="O42" s="320"/>
    </row>
    <row r="43" spans="1:15" s="318" customFormat="1" ht="30" customHeight="1" x14ac:dyDescent="0.25">
      <c r="A43" s="205">
        <v>4</v>
      </c>
      <c r="B43" s="239" t="s">
        <v>154</v>
      </c>
      <c r="C43" s="188" t="s">
        <v>292</v>
      </c>
      <c r="D43" s="189">
        <f>SUM(D44:D51)</f>
        <v>0.4</v>
      </c>
      <c r="E43" s="189" t="s">
        <v>89</v>
      </c>
      <c r="F43" s="189"/>
      <c r="G43" s="190">
        <v>646</v>
      </c>
      <c r="H43" s="191"/>
      <c r="I43" s="192"/>
      <c r="J43" s="190"/>
      <c r="K43" s="191">
        <f>SUM(K44:K51)</f>
        <v>0</v>
      </c>
      <c r="L43" s="192">
        <f>SUM(L44:L51)</f>
        <v>0</v>
      </c>
      <c r="M43" s="190">
        <f>K43+L43</f>
        <v>0</v>
      </c>
      <c r="N43" s="206"/>
      <c r="O43" s="317"/>
    </row>
    <row r="44" spans="1:15" s="319" customFormat="1" ht="33" customHeight="1" outlineLevel="1" x14ac:dyDescent="0.25">
      <c r="A44" s="160" t="s">
        <v>137</v>
      </c>
      <c r="B44" s="161"/>
      <c r="C44" s="193" t="s">
        <v>156</v>
      </c>
      <c r="D44" s="161">
        <v>0.05</v>
      </c>
      <c r="E44" s="161" t="s">
        <v>89</v>
      </c>
      <c r="F44" s="196"/>
      <c r="G44" s="163">
        <f>G43</f>
        <v>646</v>
      </c>
      <c r="H44" s="197">
        <f>F45*H45</f>
        <v>0</v>
      </c>
      <c r="I44" s="162"/>
      <c r="J44" s="163">
        <f>H44+I44</f>
        <v>0</v>
      </c>
      <c r="K44" s="164">
        <f>G44*H44</f>
        <v>0</v>
      </c>
      <c r="L44" s="165">
        <f>G44*I44</f>
        <v>0</v>
      </c>
      <c r="M44" s="163">
        <f>K44+L44</f>
        <v>0</v>
      </c>
      <c r="N44" s="207"/>
      <c r="O44" s="264"/>
    </row>
    <row r="45" spans="1:15" s="321" customFormat="1" ht="30" customHeight="1" outlineLevel="1" x14ac:dyDescent="0.25">
      <c r="A45" s="204" t="s">
        <v>242</v>
      </c>
      <c r="B45" s="198">
        <v>4100006691</v>
      </c>
      <c r="C45" s="194" t="s">
        <v>157</v>
      </c>
      <c r="D45" s="195"/>
      <c r="E45" s="195" t="s">
        <v>122</v>
      </c>
      <c r="F45" s="198">
        <v>0.1179</v>
      </c>
      <c r="G45" s="199">
        <f>G44*F45</f>
        <v>76.16340000000001</v>
      </c>
      <c r="H45" s="200"/>
      <c r="I45" s="201"/>
      <c r="J45" s="199"/>
      <c r="K45" s="202"/>
      <c r="L45" s="201"/>
      <c r="M45" s="199"/>
      <c r="N45" s="208"/>
      <c r="O45" s="320"/>
    </row>
    <row r="46" spans="1:15" s="319" customFormat="1" ht="33" customHeight="1" outlineLevel="1" x14ac:dyDescent="0.25">
      <c r="A46" s="160" t="s">
        <v>138</v>
      </c>
      <c r="B46" s="161"/>
      <c r="C46" s="193" t="s">
        <v>139</v>
      </c>
      <c r="D46" s="161">
        <v>0.15</v>
      </c>
      <c r="E46" s="161" t="s">
        <v>115</v>
      </c>
      <c r="F46" s="196"/>
      <c r="G46" s="163">
        <f>G43*D46</f>
        <v>96.899999999999991</v>
      </c>
      <c r="H46" s="197">
        <f>F47*H47</f>
        <v>0</v>
      </c>
      <c r="I46" s="162"/>
      <c r="J46" s="163">
        <f>H46+I46</f>
        <v>0</v>
      </c>
      <c r="K46" s="164">
        <f>G46*H46</f>
        <v>0</v>
      </c>
      <c r="L46" s="165">
        <f>G46*I46</f>
        <v>0</v>
      </c>
      <c r="M46" s="163">
        <f>K46+L46</f>
        <v>0</v>
      </c>
      <c r="N46" s="207"/>
      <c r="O46" s="264"/>
    </row>
    <row r="47" spans="1:15" s="321" customFormat="1" ht="30" customHeight="1" outlineLevel="1" x14ac:dyDescent="0.25">
      <c r="A47" s="204" t="s">
        <v>140</v>
      </c>
      <c r="B47" s="198">
        <v>4100006709</v>
      </c>
      <c r="C47" s="194" t="s">
        <v>141</v>
      </c>
      <c r="D47" s="198"/>
      <c r="E47" s="198" t="s">
        <v>115</v>
      </c>
      <c r="F47" s="201">
        <v>1.24</v>
      </c>
      <c r="G47" s="199">
        <f>G46*F47</f>
        <v>120.15599999999999</v>
      </c>
      <c r="H47" s="200"/>
      <c r="I47" s="201"/>
      <c r="J47" s="199"/>
      <c r="K47" s="202"/>
      <c r="L47" s="201"/>
      <c r="M47" s="199"/>
      <c r="N47" s="208"/>
      <c r="O47" s="320"/>
    </row>
    <row r="48" spans="1:15" s="319" customFormat="1" ht="33" customHeight="1" outlineLevel="1" x14ac:dyDescent="0.25">
      <c r="A48" s="160" t="s">
        <v>142</v>
      </c>
      <c r="B48" s="198"/>
      <c r="C48" s="193" t="s">
        <v>247</v>
      </c>
      <c r="D48" s="161">
        <v>0.2</v>
      </c>
      <c r="E48" s="161" t="s">
        <v>115</v>
      </c>
      <c r="F48" s="196"/>
      <c r="G48" s="163">
        <f>G43*D48</f>
        <v>129.20000000000002</v>
      </c>
      <c r="H48" s="197">
        <f>F49*H49</f>
        <v>0</v>
      </c>
      <c r="I48" s="162"/>
      <c r="J48" s="163">
        <f>H48+I48</f>
        <v>0</v>
      </c>
      <c r="K48" s="164">
        <f>G48*H48</f>
        <v>0</v>
      </c>
      <c r="L48" s="165">
        <f>G48*I48</f>
        <v>0</v>
      </c>
      <c r="M48" s="163">
        <f>K48+L48</f>
        <v>0</v>
      </c>
      <c r="N48" s="207"/>
      <c r="O48" s="264"/>
    </row>
    <row r="49" spans="1:15" s="321" customFormat="1" ht="30" customHeight="1" outlineLevel="1" x14ac:dyDescent="0.25">
      <c r="A49" s="204" t="s">
        <v>143</v>
      </c>
      <c r="B49" s="198">
        <v>4100004410</v>
      </c>
      <c r="C49" s="194" t="s">
        <v>132</v>
      </c>
      <c r="D49" s="195"/>
      <c r="E49" s="195" t="s">
        <v>115</v>
      </c>
      <c r="F49" s="198">
        <v>1.1000000000000001</v>
      </c>
      <c r="G49" s="199">
        <f>G48*F49</f>
        <v>142.12000000000003</v>
      </c>
      <c r="H49" s="200"/>
      <c r="I49" s="201"/>
      <c r="J49" s="199"/>
      <c r="K49" s="202"/>
      <c r="L49" s="201"/>
      <c r="M49" s="199"/>
      <c r="N49" s="208"/>
      <c r="O49" s="320"/>
    </row>
    <row r="50" spans="1:15" s="319" customFormat="1" ht="23.25" customHeight="1" outlineLevel="1" x14ac:dyDescent="0.25">
      <c r="A50" s="160" t="s">
        <v>144</v>
      </c>
      <c r="B50" s="161"/>
      <c r="C50" s="193" t="s">
        <v>134</v>
      </c>
      <c r="D50" s="161"/>
      <c r="E50" s="161" t="s">
        <v>89</v>
      </c>
      <c r="F50" s="196"/>
      <c r="G50" s="163">
        <f>G43</f>
        <v>646</v>
      </c>
      <c r="H50" s="197">
        <f>F51*H51</f>
        <v>0</v>
      </c>
      <c r="I50" s="162"/>
      <c r="J50" s="163">
        <f>H50+I50</f>
        <v>0</v>
      </c>
      <c r="K50" s="164">
        <f>G50*H50</f>
        <v>0</v>
      </c>
      <c r="L50" s="165">
        <f>G50*I50</f>
        <v>0</v>
      </c>
      <c r="M50" s="163">
        <f>K50+L50</f>
        <v>0</v>
      </c>
      <c r="N50" s="207"/>
      <c r="O50" s="264"/>
    </row>
    <row r="51" spans="1:15" s="321" customFormat="1" ht="30" customHeight="1" outlineLevel="1" x14ac:dyDescent="0.25">
      <c r="A51" s="204" t="s">
        <v>145</v>
      </c>
      <c r="B51" s="198">
        <v>4100001008</v>
      </c>
      <c r="C51" s="194" t="s">
        <v>146</v>
      </c>
      <c r="D51" s="195"/>
      <c r="E51" s="195" t="s">
        <v>89</v>
      </c>
      <c r="F51" s="198">
        <v>1.1000000000000001</v>
      </c>
      <c r="G51" s="199">
        <f>G50*F51</f>
        <v>710.6</v>
      </c>
      <c r="H51" s="200"/>
      <c r="I51" s="201"/>
      <c r="J51" s="199"/>
      <c r="K51" s="202"/>
      <c r="L51" s="201"/>
      <c r="M51" s="199"/>
      <c r="N51" s="208"/>
      <c r="O51" s="320"/>
    </row>
    <row r="52" spans="1:15" s="318" customFormat="1" ht="48.75" customHeight="1" x14ac:dyDescent="0.25">
      <c r="A52" s="205">
        <v>5</v>
      </c>
      <c r="B52" s="239" t="s">
        <v>201</v>
      </c>
      <c r="C52" s="188" t="s">
        <v>293</v>
      </c>
      <c r="D52" s="189">
        <f>SUM(D53:D62)</f>
        <v>0.75</v>
      </c>
      <c r="E52" s="189" t="s">
        <v>89</v>
      </c>
      <c r="F52" s="189"/>
      <c r="G52" s="190">
        <v>430</v>
      </c>
      <c r="H52" s="191"/>
      <c r="I52" s="192"/>
      <c r="J52" s="190"/>
      <c r="K52" s="191">
        <f>SUM(K53:K62)</f>
        <v>0</v>
      </c>
      <c r="L52" s="192">
        <f>SUM(L53:L62)</f>
        <v>0</v>
      </c>
      <c r="M52" s="190">
        <f>K52+L52</f>
        <v>0</v>
      </c>
      <c r="N52" s="455" t="s">
        <v>352</v>
      </c>
      <c r="O52" s="317"/>
    </row>
    <row r="53" spans="1:15" s="440" customFormat="1" ht="52.5" customHeight="1" outlineLevel="1" x14ac:dyDescent="0.25">
      <c r="A53" s="429" t="s">
        <v>147</v>
      </c>
      <c r="B53" s="430"/>
      <c r="C53" s="431" t="s">
        <v>202</v>
      </c>
      <c r="D53" s="432">
        <v>0.15</v>
      </c>
      <c r="E53" s="432" t="s">
        <v>89</v>
      </c>
      <c r="F53" s="433"/>
      <c r="G53" s="428">
        <f>G52</f>
        <v>430</v>
      </c>
      <c r="H53" s="434"/>
      <c r="I53" s="434"/>
      <c r="J53" s="435"/>
      <c r="K53" s="436"/>
      <c r="L53" s="437"/>
      <c r="M53" s="435"/>
      <c r="N53" s="438"/>
      <c r="O53" s="439"/>
    </row>
    <row r="54" spans="1:15" s="440" customFormat="1" ht="33" customHeight="1" outlineLevel="1" x14ac:dyDescent="0.25">
      <c r="A54" s="429" t="s">
        <v>148</v>
      </c>
      <c r="B54" s="432"/>
      <c r="C54" s="441" t="s">
        <v>134</v>
      </c>
      <c r="D54" s="432"/>
      <c r="E54" s="432" t="s">
        <v>89</v>
      </c>
      <c r="F54" s="433"/>
      <c r="G54" s="428">
        <f>G52</f>
        <v>430</v>
      </c>
      <c r="H54" s="442"/>
      <c r="I54" s="434"/>
      <c r="J54" s="435"/>
      <c r="K54" s="436"/>
      <c r="L54" s="437"/>
      <c r="M54" s="435"/>
      <c r="N54" s="443"/>
      <c r="O54" s="439"/>
    </row>
    <row r="55" spans="1:15" s="454" customFormat="1" ht="30" customHeight="1" outlineLevel="1" x14ac:dyDescent="0.25">
      <c r="A55" s="444" t="s">
        <v>149</v>
      </c>
      <c r="B55" s="445">
        <v>4100001008</v>
      </c>
      <c r="C55" s="446" t="s">
        <v>146</v>
      </c>
      <c r="D55" s="447"/>
      <c r="E55" s="447" t="s">
        <v>89</v>
      </c>
      <c r="F55" s="445">
        <v>1.1000000000000001</v>
      </c>
      <c r="G55" s="448">
        <f>G54*F55</f>
        <v>473.00000000000006</v>
      </c>
      <c r="H55" s="434"/>
      <c r="I55" s="449"/>
      <c r="J55" s="450"/>
      <c r="K55" s="451"/>
      <c r="L55" s="449"/>
      <c r="M55" s="450"/>
      <c r="N55" s="452"/>
      <c r="O55" s="453"/>
    </row>
    <row r="56" spans="1:15" s="319" customFormat="1" ht="33" customHeight="1" outlineLevel="1" x14ac:dyDescent="0.25">
      <c r="A56" s="160" t="s">
        <v>150</v>
      </c>
      <c r="B56" s="161"/>
      <c r="C56" s="193" t="s">
        <v>244</v>
      </c>
      <c r="D56" s="161">
        <v>0.3</v>
      </c>
      <c r="E56" s="161" t="s">
        <v>115</v>
      </c>
      <c r="F56" s="196"/>
      <c r="G56" s="163">
        <f>G52*D56</f>
        <v>129</v>
      </c>
      <c r="H56" s="197">
        <f>(G57*H57+G58*H58)/G56</f>
        <v>0</v>
      </c>
      <c r="I56" s="162"/>
      <c r="J56" s="163">
        <f>H56+I56</f>
        <v>0</v>
      </c>
      <c r="K56" s="164">
        <f>G56*H56</f>
        <v>0</v>
      </c>
      <c r="L56" s="165">
        <f>G56*I56</f>
        <v>0</v>
      </c>
      <c r="M56" s="163">
        <f>K56+L56</f>
        <v>0</v>
      </c>
      <c r="N56" s="207"/>
      <c r="O56" s="264"/>
    </row>
    <row r="57" spans="1:15" s="321" customFormat="1" ht="30" customHeight="1" outlineLevel="1" x14ac:dyDescent="0.25">
      <c r="A57" s="204" t="s">
        <v>151</v>
      </c>
      <c r="B57" s="198">
        <v>4100008425</v>
      </c>
      <c r="C57" s="194" t="s">
        <v>128</v>
      </c>
      <c r="D57" s="198"/>
      <c r="E57" s="198" t="s">
        <v>115</v>
      </c>
      <c r="F57" s="201">
        <v>1.24</v>
      </c>
      <c r="G57" s="199">
        <f>F57*G56</f>
        <v>159.96</v>
      </c>
      <c r="H57" s="200"/>
      <c r="I57" s="201"/>
      <c r="J57" s="199"/>
      <c r="K57" s="202"/>
      <c r="L57" s="201"/>
      <c r="M57" s="199"/>
      <c r="N57" s="208"/>
      <c r="O57" s="320"/>
    </row>
    <row r="58" spans="1:15" s="321" customFormat="1" ht="30" customHeight="1" outlineLevel="1" x14ac:dyDescent="0.25">
      <c r="A58" s="204" t="s">
        <v>310</v>
      </c>
      <c r="B58" s="238">
        <v>4100008426</v>
      </c>
      <c r="C58" s="194" t="s">
        <v>241</v>
      </c>
      <c r="D58" s="198"/>
      <c r="E58" s="198" t="s">
        <v>115</v>
      </c>
      <c r="F58" s="201">
        <v>0.1</v>
      </c>
      <c r="G58" s="199">
        <f>F58*G56</f>
        <v>12.9</v>
      </c>
      <c r="H58" s="200"/>
      <c r="I58" s="201"/>
      <c r="J58" s="199"/>
      <c r="K58" s="202"/>
      <c r="L58" s="201"/>
      <c r="M58" s="199"/>
      <c r="N58" s="208"/>
      <c r="O58" s="320"/>
    </row>
    <row r="59" spans="1:15" s="319" customFormat="1" ht="33" customHeight="1" outlineLevel="1" x14ac:dyDescent="0.25">
      <c r="A59" s="160" t="s">
        <v>152</v>
      </c>
      <c r="B59" s="198"/>
      <c r="C59" s="193" t="s">
        <v>294</v>
      </c>
      <c r="D59" s="161">
        <v>0.3</v>
      </c>
      <c r="E59" s="161" t="s">
        <v>115</v>
      </c>
      <c r="F59" s="196"/>
      <c r="G59" s="163">
        <f>G52*D59</f>
        <v>129</v>
      </c>
      <c r="H59" s="197">
        <f>F60*H60</f>
        <v>0</v>
      </c>
      <c r="I59" s="162"/>
      <c r="J59" s="163">
        <f>H59+I59</f>
        <v>0</v>
      </c>
      <c r="K59" s="164">
        <f>G59*H59</f>
        <v>0</v>
      </c>
      <c r="L59" s="165">
        <f>G59*I59</f>
        <v>0</v>
      </c>
      <c r="M59" s="163">
        <f>K59+L59</f>
        <v>0</v>
      </c>
      <c r="N59" s="207"/>
      <c r="O59" s="264"/>
    </row>
    <row r="60" spans="1:15" s="321" customFormat="1" ht="30" customHeight="1" outlineLevel="1" x14ac:dyDescent="0.25">
      <c r="A60" s="204" t="s">
        <v>153</v>
      </c>
      <c r="B60" s="198">
        <v>4100004410</v>
      </c>
      <c r="C60" s="194" t="s">
        <v>132</v>
      </c>
      <c r="D60" s="195"/>
      <c r="E60" s="195" t="s">
        <v>115</v>
      </c>
      <c r="F60" s="198">
        <v>1.1000000000000001</v>
      </c>
      <c r="G60" s="199">
        <f>G59*F60</f>
        <v>141.9</v>
      </c>
      <c r="H60" s="200"/>
      <c r="I60" s="201"/>
      <c r="J60" s="199"/>
      <c r="K60" s="202"/>
      <c r="L60" s="201"/>
      <c r="M60" s="199"/>
      <c r="N60" s="208"/>
      <c r="O60" s="320"/>
    </row>
    <row r="61" spans="1:15" s="319" customFormat="1" ht="26.25" customHeight="1" outlineLevel="1" x14ac:dyDescent="0.25">
      <c r="A61" s="160" t="s">
        <v>311</v>
      </c>
      <c r="B61" s="161"/>
      <c r="C61" s="193" t="s">
        <v>134</v>
      </c>
      <c r="D61" s="161"/>
      <c r="E61" s="161" t="s">
        <v>89</v>
      </c>
      <c r="F61" s="196"/>
      <c r="G61" s="163">
        <f>G52</f>
        <v>430</v>
      </c>
      <c r="H61" s="197">
        <f>F62*H62</f>
        <v>0</v>
      </c>
      <c r="I61" s="162"/>
      <c r="J61" s="163">
        <f>H61+I61</f>
        <v>0</v>
      </c>
      <c r="K61" s="164">
        <f>G61*H61</f>
        <v>0</v>
      </c>
      <c r="L61" s="165">
        <f>G61*I61</f>
        <v>0</v>
      </c>
      <c r="M61" s="163">
        <f>K61+L61</f>
        <v>0</v>
      </c>
      <c r="N61" s="207"/>
      <c r="O61" s="264"/>
    </row>
    <row r="62" spans="1:15" s="321" customFormat="1" ht="30" customHeight="1" outlineLevel="1" x14ac:dyDescent="0.25">
      <c r="A62" s="204" t="s">
        <v>312</v>
      </c>
      <c r="B62" s="198">
        <v>4100001008</v>
      </c>
      <c r="C62" s="194" t="s">
        <v>146</v>
      </c>
      <c r="D62" s="195"/>
      <c r="E62" s="195" t="s">
        <v>89</v>
      </c>
      <c r="F62" s="198">
        <v>1.1000000000000001</v>
      </c>
      <c r="G62" s="199">
        <f>G61*F62</f>
        <v>473.00000000000006</v>
      </c>
      <c r="H62" s="200"/>
      <c r="I62" s="201"/>
      <c r="J62" s="199"/>
      <c r="K62" s="202"/>
      <c r="L62" s="201"/>
      <c r="M62" s="199"/>
      <c r="N62" s="208"/>
      <c r="O62" s="320"/>
    </row>
    <row r="63" spans="1:15" s="318" customFormat="1" ht="30" customHeight="1" x14ac:dyDescent="0.25">
      <c r="A63" s="205">
        <v>6</v>
      </c>
      <c r="B63" s="239" t="s">
        <v>136</v>
      </c>
      <c r="C63" s="188" t="s">
        <v>295</v>
      </c>
      <c r="D63" s="189">
        <f>SUM(D64:D70)</f>
        <v>0.46</v>
      </c>
      <c r="E63" s="189" t="s">
        <v>89</v>
      </c>
      <c r="F63" s="189"/>
      <c r="G63" s="190">
        <v>453</v>
      </c>
      <c r="H63" s="191"/>
      <c r="I63" s="192"/>
      <c r="J63" s="190"/>
      <c r="K63" s="191">
        <f>SUM(K64:K70)</f>
        <v>0</v>
      </c>
      <c r="L63" s="192">
        <f>SUM(L64:L70)</f>
        <v>0</v>
      </c>
      <c r="M63" s="190">
        <f>K63+L63</f>
        <v>0</v>
      </c>
      <c r="N63" s="206"/>
      <c r="O63" s="317"/>
    </row>
    <row r="64" spans="1:15" s="319" customFormat="1" ht="33" customHeight="1" outlineLevel="1" x14ac:dyDescent="0.25">
      <c r="A64" s="160" t="s">
        <v>155</v>
      </c>
      <c r="B64" s="161"/>
      <c r="C64" s="193" t="s">
        <v>243</v>
      </c>
      <c r="D64" s="161">
        <f>0.05+0.06</f>
        <v>0.11</v>
      </c>
      <c r="E64" s="161" t="s">
        <v>89</v>
      </c>
      <c r="F64" s="196"/>
      <c r="G64" s="163">
        <f>G63</f>
        <v>453</v>
      </c>
      <c r="H64" s="200"/>
      <c r="I64" s="162"/>
      <c r="J64" s="163">
        <f>H64+I64</f>
        <v>0</v>
      </c>
      <c r="K64" s="164">
        <f>G64*H64</f>
        <v>0</v>
      </c>
      <c r="L64" s="165">
        <f>G64*I64</f>
        <v>0</v>
      </c>
      <c r="M64" s="163">
        <f>K64+L64</f>
        <v>0</v>
      </c>
      <c r="N64" s="207" t="s">
        <v>327</v>
      </c>
      <c r="O64" s="264"/>
    </row>
    <row r="65" spans="1:15" s="319" customFormat="1" ht="33" customHeight="1" outlineLevel="1" x14ac:dyDescent="0.25">
      <c r="A65" s="160" t="s">
        <v>158</v>
      </c>
      <c r="B65" s="161"/>
      <c r="C65" s="193" t="s">
        <v>139</v>
      </c>
      <c r="D65" s="161">
        <v>0.15</v>
      </c>
      <c r="E65" s="161" t="s">
        <v>115</v>
      </c>
      <c r="F65" s="196"/>
      <c r="G65" s="163">
        <f>G63*D65</f>
        <v>67.95</v>
      </c>
      <c r="H65" s="197">
        <f>F66*H66</f>
        <v>0</v>
      </c>
      <c r="I65" s="162"/>
      <c r="J65" s="163">
        <f>H65+I65</f>
        <v>0</v>
      </c>
      <c r="K65" s="164">
        <f>G65*H65</f>
        <v>0</v>
      </c>
      <c r="L65" s="165">
        <f>G65*I65</f>
        <v>0</v>
      </c>
      <c r="M65" s="163">
        <f>K65+L65</f>
        <v>0</v>
      </c>
      <c r="N65" s="207"/>
      <c r="O65" s="264"/>
    </row>
    <row r="66" spans="1:15" s="321" customFormat="1" ht="30" customHeight="1" outlineLevel="1" x14ac:dyDescent="0.25">
      <c r="A66" s="204" t="s">
        <v>159</v>
      </c>
      <c r="B66" s="198">
        <v>4100006709</v>
      </c>
      <c r="C66" s="194" t="s">
        <v>141</v>
      </c>
      <c r="D66" s="198"/>
      <c r="E66" s="198" t="s">
        <v>115</v>
      </c>
      <c r="F66" s="201">
        <v>1.24</v>
      </c>
      <c r="G66" s="199">
        <f>G65*F66</f>
        <v>84.25800000000001</v>
      </c>
      <c r="H66" s="200"/>
      <c r="I66" s="201"/>
      <c r="J66" s="199"/>
      <c r="K66" s="202"/>
      <c r="L66" s="201"/>
      <c r="M66" s="199"/>
      <c r="N66" s="208"/>
      <c r="O66" s="320"/>
    </row>
    <row r="67" spans="1:15" s="319" customFormat="1" ht="33" customHeight="1" outlineLevel="1" x14ac:dyDescent="0.25">
      <c r="A67" s="160" t="s">
        <v>160</v>
      </c>
      <c r="B67" s="198"/>
      <c r="C67" s="193" t="s">
        <v>246</v>
      </c>
      <c r="D67" s="161">
        <v>0.2</v>
      </c>
      <c r="E67" s="161" t="s">
        <v>115</v>
      </c>
      <c r="F67" s="196"/>
      <c r="G67" s="163">
        <f>G63*D67</f>
        <v>90.600000000000009</v>
      </c>
      <c r="H67" s="197">
        <f>F68*H68</f>
        <v>0</v>
      </c>
      <c r="I67" s="162"/>
      <c r="J67" s="163">
        <f>H67+I67</f>
        <v>0</v>
      </c>
      <c r="K67" s="164">
        <f>G67*H67</f>
        <v>0</v>
      </c>
      <c r="L67" s="165">
        <f>G67*I67</f>
        <v>0</v>
      </c>
      <c r="M67" s="163">
        <f>K67+L67</f>
        <v>0</v>
      </c>
      <c r="N67" s="207"/>
      <c r="O67" s="264"/>
    </row>
    <row r="68" spans="1:15" s="321" customFormat="1" ht="30" customHeight="1" outlineLevel="1" x14ac:dyDescent="0.25">
      <c r="A68" s="204" t="s">
        <v>161</v>
      </c>
      <c r="B68" s="198">
        <v>4100004410</v>
      </c>
      <c r="C68" s="194" t="s">
        <v>132</v>
      </c>
      <c r="D68" s="195"/>
      <c r="E68" s="195" t="s">
        <v>115</v>
      </c>
      <c r="F68" s="198">
        <v>1.1000000000000001</v>
      </c>
      <c r="G68" s="199">
        <f>F68*G67</f>
        <v>99.660000000000011</v>
      </c>
      <c r="H68" s="200"/>
      <c r="I68" s="201"/>
      <c r="J68" s="199"/>
      <c r="K68" s="202"/>
      <c r="L68" s="201"/>
      <c r="M68" s="199"/>
      <c r="N68" s="208"/>
      <c r="O68" s="320"/>
    </row>
    <row r="69" spans="1:15" s="319" customFormat="1" ht="25.5" customHeight="1" outlineLevel="1" x14ac:dyDescent="0.25">
      <c r="A69" s="160" t="s">
        <v>162</v>
      </c>
      <c r="B69" s="161"/>
      <c r="C69" s="193" t="s">
        <v>134</v>
      </c>
      <c r="D69" s="161"/>
      <c r="E69" s="161" t="s">
        <v>89</v>
      </c>
      <c r="F69" s="196"/>
      <c r="G69" s="163">
        <f>G63</f>
        <v>453</v>
      </c>
      <c r="H69" s="197">
        <f>F70*H70</f>
        <v>0</v>
      </c>
      <c r="I69" s="162"/>
      <c r="J69" s="163">
        <f>H69+I69</f>
        <v>0</v>
      </c>
      <c r="K69" s="164">
        <f>G69*H69</f>
        <v>0</v>
      </c>
      <c r="L69" s="165">
        <f>G69*I69</f>
        <v>0</v>
      </c>
      <c r="M69" s="163">
        <f>K69+L69</f>
        <v>0</v>
      </c>
      <c r="N69" s="207"/>
      <c r="O69" s="264"/>
    </row>
    <row r="70" spans="1:15" s="321" customFormat="1" ht="30" customHeight="1" outlineLevel="1" x14ac:dyDescent="0.25">
      <c r="A70" s="204" t="s">
        <v>163</v>
      </c>
      <c r="B70" s="198">
        <v>4100001008</v>
      </c>
      <c r="C70" s="194" t="s">
        <v>146</v>
      </c>
      <c r="D70" s="195"/>
      <c r="E70" s="195" t="s">
        <v>89</v>
      </c>
      <c r="F70" s="198">
        <v>1.1000000000000001</v>
      </c>
      <c r="G70" s="199">
        <f>F70*G69</f>
        <v>498.30000000000007</v>
      </c>
      <c r="H70" s="200"/>
      <c r="I70" s="201"/>
      <c r="J70" s="199"/>
      <c r="K70" s="202"/>
      <c r="L70" s="201"/>
      <c r="M70" s="199"/>
      <c r="N70" s="208"/>
      <c r="O70" s="320"/>
    </row>
    <row r="71" spans="1:15" s="318" customFormat="1" ht="30" customHeight="1" x14ac:dyDescent="0.25">
      <c r="A71" s="205">
        <v>7</v>
      </c>
      <c r="B71" s="239" t="s">
        <v>197</v>
      </c>
      <c r="C71" s="188" t="s">
        <v>296</v>
      </c>
      <c r="D71" s="189">
        <f>SUM(D72:D80)</f>
        <v>0.41500000000000004</v>
      </c>
      <c r="E71" s="189" t="s">
        <v>89</v>
      </c>
      <c r="F71" s="189"/>
      <c r="G71" s="190">
        <v>397</v>
      </c>
      <c r="H71" s="191"/>
      <c r="I71" s="192"/>
      <c r="J71" s="190"/>
      <c r="K71" s="191">
        <f>SUM(K73:K80)</f>
        <v>0</v>
      </c>
      <c r="L71" s="192">
        <f>SUM(L73:L80)</f>
        <v>0</v>
      </c>
      <c r="M71" s="190">
        <f>K71+L71</f>
        <v>0</v>
      </c>
      <c r="N71" s="206"/>
      <c r="O71" s="317"/>
    </row>
    <row r="72" spans="1:15" s="319" customFormat="1" ht="33" customHeight="1" outlineLevel="1" x14ac:dyDescent="0.25">
      <c r="A72" s="160" t="s">
        <v>164</v>
      </c>
      <c r="B72" s="284"/>
      <c r="C72" s="193" t="s">
        <v>199</v>
      </c>
      <c r="D72" s="161">
        <v>1.4999999999999999E-2</v>
      </c>
      <c r="E72" s="161" t="s">
        <v>89</v>
      </c>
      <c r="F72" s="196"/>
      <c r="G72" s="163">
        <f>G71</f>
        <v>397</v>
      </c>
      <c r="H72" s="221"/>
      <c r="I72" s="222"/>
      <c r="J72" s="163"/>
      <c r="K72" s="164"/>
      <c r="L72" s="165"/>
      <c r="M72" s="163"/>
      <c r="N72" s="207" t="s">
        <v>200</v>
      </c>
      <c r="O72" s="264"/>
    </row>
    <row r="73" spans="1:15" s="319" customFormat="1" ht="33" customHeight="1" outlineLevel="1" x14ac:dyDescent="0.25">
      <c r="A73" s="160" t="s">
        <v>165</v>
      </c>
      <c r="B73" s="284"/>
      <c r="C73" s="193" t="s">
        <v>191</v>
      </c>
      <c r="D73" s="161">
        <v>0.05</v>
      </c>
      <c r="E73" s="161" t="s">
        <v>115</v>
      </c>
      <c r="F73" s="196"/>
      <c r="G73" s="163">
        <f>G71*D73</f>
        <v>19.850000000000001</v>
      </c>
      <c r="H73" s="197">
        <f>F74*H74</f>
        <v>0</v>
      </c>
      <c r="I73" s="162"/>
      <c r="J73" s="163">
        <f>H73+I73</f>
        <v>0</v>
      </c>
      <c r="K73" s="164">
        <f>G73*H73</f>
        <v>0</v>
      </c>
      <c r="L73" s="165">
        <f>G73*I73</f>
        <v>0</v>
      </c>
      <c r="M73" s="163">
        <f>K73+L73</f>
        <v>0</v>
      </c>
      <c r="N73" s="207"/>
      <c r="O73" s="264"/>
    </row>
    <row r="74" spans="1:15" s="321" customFormat="1" ht="30" customHeight="1" outlineLevel="1" x14ac:dyDescent="0.25">
      <c r="A74" s="204" t="s">
        <v>166</v>
      </c>
      <c r="B74" s="198">
        <v>4100004056</v>
      </c>
      <c r="C74" s="203" t="s">
        <v>192</v>
      </c>
      <c r="D74" s="195"/>
      <c r="E74" s="198" t="s">
        <v>115</v>
      </c>
      <c r="F74" s="201">
        <f>1.24</f>
        <v>1.24</v>
      </c>
      <c r="G74" s="199">
        <f>F74*G73</f>
        <v>24.614000000000001</v>
      </c>
      <c r="H74" s="200"/>
      <c r="I74" s="201"/>
      <c r="J74" s="199"/>
      <c r="K74" s="202"/>
      <c r="L74" s="201"/>
      <c r="M74" s="199"/>
      <c r="N74" s="208"/>
      <c r="O74" s="264"/>
    </row>
    <row r="75" spans="1:15" s="319" customFormat="1" ht="33" customHeight="1" outlineLevel="1" x14ac:dyDescent="0.25">
      <c r="A75" s="160" t="s">
        <v>167</v>
      </c>
      <c r="B75" s="161"/>
      <c r="C75" s="223" t="s">
        <v>139</v>
      </c>
      <c r="D75" s="161">
        <v>0.15</v>
      </c>
      <c r="E75" s="161" t="s">
        <v>115</v>
      </c>
      <c r="F75" s="196"/>
      <c r="G75" s="163">
        <f>G71*D75</f>
        <v>59.55</v>
      </c>
      <c r="H75" s="197">
        <f>F76*H76</f>
        <v>0</v>
      </c>
      <c r="I75" s="162"/>
      <c r="J75" s="163">
        <f>H75+I75</f>
        <v>0</v>
      </c>
      <c r="K75" s="164">
        <f>G75*H75</f>
        <v>0</v>
      </c>
      <c r="L75" s="165">
        <f>G75*I75</f>
        <v>0</v>
      </c>
      <c r="M75" s="163">
        <f>K75+L75</f>
        <v>0</v>
      </c>
      <c r="N75" s="207"/>
      <c r="O75" s="264"/>
    </row>
    <row r="76" spans="1:15" s="321" customFormat="1" ht="30" customHeight="1" outlineLevel="1" x14ac:dyDescent="0.25">
      <c r="A76" s="204" t="s">
        <v>168</v>
      </c>
      <c r="B76" s="198">
        <v>4100006709</v>
      </c>
      <c r="C76" s="194" t="s">
        <v>141</v>
      </c>
      <c r="D76" s="198"/>
      <c r="E76" s="198" t="s">
        <v>115</v>
      </c>
      <c r="F76" s="201">
        <v>1.24</v>
      </c>
      <c r="G76" s="199">
        <f>F76*G75</f>
        <v>73.841999999999999</v>
      </c>
      <c r="H76" s="200"/>
      <c r="I76" s="201"/>
      <c r="J76" s="199"/>
      <c r="K76" s="202"/>
      <c r="L76" s="201"/>
      <c r="M76" s="199"/>
      <c r="N76" s="208"/>
      <c r="O76" s="320"/>
    </row>
    <row r="77" spans="1:15" s="319" customFormat="1" ht="33" customHeight="1" outlineLevel="1" x14ac:dyDescent="0.25">
      <c r="A77" s="160" t="s">
        <v>169</v>
      </c>
      <c r="B77" s="198"/>
      <c r="C77" s="193" t="s">
        <v>294</v>
      </c>
      <c r="D77" s="161">
        <v>0.2</v>
      </c>
      <c r="E77" s="161" t="s">
        <v>115</v>
      </c>
      <c r="F77" s="196"/>
      <c r="G77" s="163">
        <f>G71*D77</f>
        <v>79.400000000000006</v>
      </c>
      <c r="H77" s="197">
        <f>F78*H78</f>
        <v>0</v>
      </c>
      <c r="I77" s="162"/>
      <c r="J77" s="163">
        <f>H77+I77</f>
        <v>0</v>
      </c>
      <c r="K77" s="164">
        <f>G77*H77</f>
        <v>0</v>
      </c>
      <c r="L77" s="165">
        <f>G77*I77</f>
        <v>0</v>
      </c>
      <c r="M77" s="163">
        <f>K77+L77</f>
        <v>0</v>
      </c>
      <c r="N77" s="207"/>
      <c r="O77" s="264"/>
    </row>
    <row r="78" spans="1:15" s="321" customFormat="1" ht="30" customHeight="1" outlineLevel="1" x14ac:dyDescent="0.25">
      <c r="A78" s="204" t="s">
        <v>170</v>
      </c>
      <c r="B78" s="198">
        <v>4100004410</v>
      </c>
      <c r="C78" s="194" t="s">
        <v>132</v>
      </c>
      <c r="D78" s="195"/>
      <c r="E78" s="195" t="s">
        <v>115</v>
      </c>
      <c r="F78" s="198">
        <v>1.1000000000000001</v>
      </c>
      <c r="G78" s="199">
        <f>G77*F78</f>
        <v>87.340000000000018</v>
      </c>
      <c r="H78" s="200"/>
      <c r="I78" s="201"/>
      <c r="J78" s="199"/>
      <c r="K78" s="202"/>
      <c r="L78" s="201"/>
      <c r="M78" s="199"/>
      <c r="N78" s="208"/>
      <c r="O78" s="320"/>
    </row>
    <row r="79" spans="1:15" s="319" customFormat="1" ht="33" customHeight="1" outlineLevel="1" x14ac:dyDescent="0.25">
      <c r="A79" s="160" t="s">
        <v>313</v>
      </c>
      <c r="B79" s="161"/>
      <c r="C79" s="193" t="s">
        <v>134</v>
      </c>
      <c r="D79" s="161"/>
      <c r="E79" s="161" t="s">
        <v>89</v>
      </c>
      <c r="F79" s="196"/>
      <c r="G79" s="163">
        <f>G71</f>
        <v>397</v>
      </c>
      <c r="H79" s="197">
        <f>F80*H80</f>
        <v>0</v>
      </c>
      <c r="I79" s="162"/>
      <c r="J79" s="163">
        <f>H79+I79</f>
        <v>0</v>
      </c>
      <c r="K79" s="164">
        <f>G79*H79</f>
        <v>0</v>
      </c>
      <c r="L79" s="165">
        <f>G79*I79</f>
        <v>0</v>
      </c>
      <c r="M79" s="163">
        <f>K79+L79</f>
        <v>0</v>
      </c>
      <c r="N79" s="207"/>
      <c r="O79" s="264"/>
    </row>
    <row r="80" spans="1:15" s="321" customFormat="1" ht="30" customHeight="1" outlineLevel="1" x14ac:dyDescent="0.25">
      <c r="A80" s="204" t="s">
        <v>314</v>
      </c>
      <c r="B80" s="198">
        <v>4100001008</v>
      </c>
      <c r="C80" s="194" t="s">
        <v>146</v>
      </c>
      <c r="D80" s="195"/>
      <c r="E80" s="195" t="s">
        <v>89</v>
      </c>
      <c r="F80" s="198">
        <v>1.1000000000000001</v>
      </c>
      <c r="G80" s="199">
        <f>G79*F80</f>
        <v>436.70000000000005</v>
      </c>
      <c r="H80" s="200"/>
      <c r="I80" s="201"/>
      <c r="J80" s="199"/>
      <c r="K80" s="202"/>
      <c r="L80" s="201"/>
      <c r="M80" s="199"/>
      <c r="N80" s="208"/>
      <c r="O80" s="320"/>
    </row>
    <row r="81" spans="1:15" s="318" customFormat="1" ht="33" customHeight="1" x14ac:dyDescent="0.25">
      <c r="A81" s="205">
        <v>8</v>
      </c>
      <c r="B81" s="239" t="s">
        <v>136</v>
      </c>
      <c r="C81" s="188" t="s">
        <v>297</v>
      </c>
      <c r="D81" s="189">
        <f>SUM(D82:D89)</f>
        <v>0.73</v>
      </c>
      <c r="E81" s="189" t="s">
        <v>89</v>
      </c>
      <c r="F81" s="189"/>
      <c r="G81" s="190">
        <v>454</v>
      </c>
      <c r="H81" s="191"/>
      <c r="I81" s="192"/>
      <c r="J81" s="190"/>
      <c r="K81" s="191">
        <f>SUM(K82:K89)</f>
        <v>0</v>
      </c>
      <c r="L81" s="192">
        <f>SUM(L82:L89)</f>
        <v>0</v>
      </c>
      <c r="M81" s="190">
        <f>K81+L81</f>
        <v>0</v>
      </c>
      <c r="N81" s="206"/>
      <c r="O81" s="317"/>
    </row>
    <row r="82" spans="1:15" s="319" customFormat="1" ht="33" customHeight="1" outlineLevel="1" x14ac:dyDescent="0.25">
      <c r="A82" s="160" t="s">
        <v>172</v>
      </c>
      <c r="B82" s="161"/>
      <c r="C82" s="193" t="s">
        <v>245</v>
      </c>
      <c r="D82" s="161">
        <f>0.05+0.08</f>
        <v>0.13</v>
      </c>
      <c r="E82" s="161" t="s">
        <v>89</v>
      </c>
      <c r="F82" s="196"/>
      <c r="G82" s="163">
        <f>G81</f>
        <v>454</v>
      </c>
      <c r="H82" s="200"/>
      <c r="I82" s="162"/>
      <c r="J82" s="163">
        <f>H82+I82</f>
        <v>0</v>
      </c>
      <c r="K82" s="164">
        <f>G82*H82</f>
        <v>0</v>
      </c>
      <c r="L82" s="165">
        <f>G82*I82</f>
        <v>0</v>
      </c>
      <c r="M82" s="163">
        <f>K82+L82</f>
        <v>0</v>
      </c>
      <c r="N82" s="207" t="s">
        <v>327</v>
      </c>
      <c r="O82" s="264"/>
    </row>
    <row r="83" spans="1:15" s="319" customFormat="1" ht="36.75" customHeight="1" outlineLevel="1" x14ac:dyDescent="0.25">
      <c r="A83" s="160" t="s">
        <v>173</v>
      </c>
      <c r="B83" s="161"/>
      <c r="C83" s="193" t="s">
        <v>244</v>
      </c>
      <c r="D83" s="161">
        <v>0.3</v>
      </c>
      <c r="E83" s="161" t="s">
        <v>115</v>
      </c>
      <c r="F83" s="196"/>
      <c r="G83" s="163">
        <f>G81*D83</f>
        <v>136.19999999999999</v>
      </c>
      <c r="H83" s="197">
        <f>(G84*H84+G85*H85)/G83</f>
        <v>0</v>
      </c>
      <c r="I83" s="162"/>
      <c r="J83" s="163">
        <f>H83+I83</f>
        <v>0</v>
      </c>
      <c r="K83" s="164">
        <f>G83*H83</f>
        <v>0</v>
      </c>
      <c r="L83" s="165">
        <f>G83*I83</f>
        <v>0</v>
      </c>
      <c r="M83" s="163">
        <f>K83+L83</f>
        <v>0</v>
      </c>
      <c r="N83" s="207"/>
      <c r="O83" s="264"/>
    </row>
    <row r="84" spans="1:15" s="321" customFormat="1" ht="30" customHeight="1" outlineLevel="1" x14ac:dyDescent="0.25">
      <c r="A84" s="204" t="s">
        <v>174</v>
      </c>
      <c r="B84" s="198">
        <v>4100008425</v>
      </c>
      <c r="C84" s="194" t="s">
        <v>128</v>
      </c>
      <c r="D84" s="198"/>
      <c r="E84" s="198" t="s">
        <v>115</v>
      </c>
      <c r="F84" s="201">
        <v>1.24</v>
      </c>
      <c r="G84" s="199">
        <f>F84*G83</f>
        <v>168.88799999999998</v>
      </c>
      <c r="H84" s="200"/>
      <c r="I84" s="201"/>
      <c r="J84" s="199"/>
      <c r="K84" s="202"/>
      <c r="L84" s="201"/>
      <c r="M84" s="199"/>
      <c r="N84" s="208"/>
      <c r="O84" s="320"/>
    </row>
    <row r="85" spans="1:15" s="321" customFormat="1" ht="30" customHeight="1" outlineLevel="1" x14ac:dyDescent="0.25">
      <c r="A85" s="204" t="s">
        <v>315</v>
      </c>
      <c r="B85" s="238">
        <v>4100008426</v>
      </c>
      <c r="C85" s="194" t="s">
        <v>241</v>
      </c>
      <c r="D85" s="198"/>
      <c r="E85" s="198" t="s">
        <v>115</v>
      </c>
      <c r="F85" s="201">
        <v>0.1</v>
      </c>
      <c r="G85" s="199">
        <f>F85*G83</f>
        <v>13.62</v>
      </c>
      <c r="H85" s="200"/>
      <c r="I85" s="201"/>
      <c r="J85" s="199"/>
      <c r="K85" s="202"/>
      <c r="L85" s="201"/>
      <c r="M85" s="199"/>
      <c r="N85" s="208"/>
      <c r="O85" s="320"/>
    </row>
    <row r="86" spans="1:15" s="319" customFormat="1" ht="33" customHeight="1" outlineLevel="1" x14ac:dyDescent="0.25">
      <c r="A86" s="160" t="s">
        <v>175</v>
      </c>
      <c r="B86" s="198"/>
      <c r="C86" s="193" t="s">
        <v>246</v>
      </c>
      <c r="D86" s="161">
        <v>0.3</v>
      </c>
      <c r="E86" s="161" t="s">
        <v>115</v>
      </c>
      <c r="F86" s="196"/>
      <c r="G86" s="163">
        <f>G81*D86</f>
        <v>136.19999999999999</v>
      </c>
      <c r="H86" s="197">
        <f>F87*H87</f>
        <v>0</v>
      </c>
      <c r="I86" s="162"/>
      <c r="J86" s="163">
        <f>H86+I86</f>
        <v>0</v>
      </c>
      <c r="K86" s="164">
        <f>G86*H86</f>
        <v>0</v>
      </c>
      <c r="L86" s="165">
        <f>G86*I86</f>
        <v>0</v>
      </c>
      <c r="M86" s="163">
        <f>K86+L86</f>
        <v>0</v>
      </c>
      <c r="N86" s="207"/>
      <c r="O86" s="264"/>
    </row>
    <row r="87" spans="1:15" s="321" customFormat="1" ht="30" customHeight="1" outlineLevel="1" x14ac:dyDescent="0.25">
      <c r="A87" s="204" t="s">
        <v>176</v>
      </c>
      <c r="B87" s="198">
        <v>4100004410</v>
      </c>
      <c r="C87" s="194" t="s">
        <v>132</v>
      </c>
      <c r="D87" s="195"/>
      <c r="E87" s="195" t="s">
        <v>115</v>
      </c>
      <c r="F87" s="198">
        <v>1.1000000000000001</v>
      </c>
      <c r="G87" s="199">
        <f>F87*G86</f>
        <v>149.82</v>
      </c>
      <c r="H87" s="200"/>
      <c r="I87" s="201"/>
      <c r="J87" s="199"/>
      <c r="K87" s="202"/>
      <c r="L87" s="201"/>
      <c r="M87" s="199"/>
      <c r="N87" s="208"/>
      <c r="O87" s="320"/>
    </row>
    <row r="88" spans="1:15" s="319" customFormat="1" ht="25.5" customHeight="1" outlineLevel="1" x14ac:dyDescent="0.25">
      <c r="A88" s="160" t="s">
        <v>177</v>
      </c>
      <c r="B88" s="161"/>
      <c r="C88" s="193" t="s">
        <v>134</v>
      </c>
      <c r="D88" s="161"/>
      <c r="E88" s="161" t="s">
        <v>89</v>
      </c>
      <c r="F88" s="196"/>
      <c r="G88" s="163">
        <f>G81</f>
        <v>454</v>
      </c>
      <c r="H88" s="197">
        <f>F89*H89</f>
        <v>0</v>
      </c>
      <c r="I88" s="162"/>
      <c r="J88" s="163">
        <f>H88+I88</f>
        <v>0</v>
      </c>
      <c r="K88" s="164">
        <f>G88*H88</f>
        <v>0</v>
      </c>
      <c r="L88" s="165">
        <f>G88*I88</f>
        <v>0</v>
      </c>
      <c r="M88" s="163">
        <f>K88+L88</f>
        <v>0</v>
      </c>
      <c r="N88" s="207"/>
      <c r="O88" s="264"/>
    </row>
    <row r="89" spans="1:15" s="321" customFormat="1" ht="30" customHeight="1" outlineLevel="1" x14ac:dyDescent="0.25">
      <c r="A89" s="204" t="s">
        <v>178</v>
      </c>
      <c r="B89" s="198">
        <v>4100001008</v>
      </c>
      <c r="C89" s="194" t="s">
        <v>146</v>
      </c>
      <c r="D89" s="195"/>
      <c r="E89" s="195" t="s">
        <v>89</v>
      </c>
      <c r="F89" s="198">
        <v>1.1000000000000001</v>
      </c>
      <c r="G89" s="199">
        <f>F89*G88</f>
        <v>499.40000000000003</v>
      </c>
      <c r="H89" s="200"/>
      <c r="I89" s="201"/>
      <c r="J89" s="199"/>
      <c r="K89" s="202"/>
      <c r="L89" s="201"/>
      <c r="M89" s="199"/>
      <c r="N89" s="208"/>
      <c r="O89" s="320"/>
    </row>
    <row r="90" spans="1:15" s="96" customFormat="1" ht="33" customHeight="1" x14ac:dyDescent="0.25">
      <c r="A90" s="220">
        <v>9</v>
      </c>
      <c r="B90" s="239" t="s">
        <v>189</v>
      </c>
      <c r="C90" s="188" t="s">
        <v>275</v>
      </c>
      <c r="D90" s="189">
        <f>SUM(D91:D98)</f>
        <v>0.4</v>
      </c>
      <c r="E90" s="189" t="s">
        <v>89</v>
      </c>
      <c r="F90" s="189"/>
      <c r="G90" s="190">
        <v>32.04</v>
      </c>
      <c r="H90" s="191"/>
      <c r="I90" s="192"/>
      <c r="J90" s="190"/>
      <c r="K90" s="191">
        <f>SUM(K91:K98)</f>
        <v>0</v>
      </c>
      <c r="L90" s="192">
        <f>SUM(L91:L98)</f>
        <v>0</v>
      </c>
      <c r="M90" s="190">
        <f>K90+L90</f>
        <v>0</v>
      </c>
      <c r="N90" s="95"/>
      <c r="O90" s="142"/>
    </row>
    <row r="91" spans="1:15" s="94" customFormat="1" ht="33" customHeight="1" outlineLevel="1" x14ac:dyDescent="0.25">
      <c r="A91" s="166" t="s">
        <v>179</v>
      </c>
      <c r="B91" s="147"/>
      <c r="C91" s="193" t="s">
        <v>330</v>
      </c>
      <c r="D91" s="161">
        <v>0.05</v>
      </c>
      <c r="E91" s="161" t="s">
        <v>115</v>
      </c>
      <c r="F91" s="196"/>
      <c r="G91" s="163">
        <f>G90*D91</f>
        <v>1.6020000000000001</v>
      </c>
      <c r="H91" s="197">
        <f>F92*H92</f>
        <v>0</v>
      </c>
      <c r="I91" s="162"/>
      <c r="J91" s="163">
        <f>H91+I91</f>
        <v>0</v>
      </c>
      <c r="K91" s="164">
        <f>G91*H91</f>
        <v>0</v>
      </c>
      <c r="L91" s="165">
        <f>G91*I91</f>
        <v>0</v>
      </c>
      <c r="M91" s="163">
        <f>K91+L91</f>
        <v>0</v>
      </c>
      <c r="N91" s="207"/>
      <c r="O91" s="264"/>
    </row>
    <row r="92" spans="1:15" s="146" customFormat="1" ht="30" customHeight="1" outlineLevel="1" x14ac:dyDescent="0.25">
      <c r="A92" s="219" t="s">
        <v>316</v>
      </c>
      <c r="B92" s="198">
        <v>4100004056</v>
      </c>
      <c r="C92" s="194" t="s">
        <v>192</v>
      </c>
      <c r="D92" s="195"/>
      <c r="E92" s="198" t="s">
        <v>115</v>
      </c>
      <c r="F92" s="201">
        <f>1.24</f>
        <v>1.24</v>
      </c>
      <c r="G92" s="199">
        <f>F92*G91</f>
        <v>1.98648</v>
      </c>
      <c r="H92" s="200"/>
      <c r="I92" s="201"/>
      <c r="J92" s="199"/>
      <c r="K92" s="202"/>
      <c r="L92" s="201"/>
      <c r="M92" s="199"/>
      <c r="N92" s="208"/>
      <c r="O92" s="93"/>
    </row>
    <row r="93" spans="1:15" s="94" customFormat="1" ht="33" customHeight="1" outlineLevel="1" x14ac:dyDescent="0.25">
      <c r="A93" s="166" t="s">
        <v>180</v>
      </c>
      <c r="B93" s="97"/>
      <c r="C93" s="209" t="s">
        <v>139</v>
      </c>
      <c r="D93" s="167">
        <v>0.15</v>
      </c>
      <c r="E93" s="167" t="s">
        <v>115</v>
      </c>
      <c r="F93" s="212"/>
      <c r="G93" s="169">
        <f>G90*D93</f>
        <v>4.806</v>
      </c>
      <c r="H93" s="213">
        <f>F94*H94</f>
        <v>0</v>
      </c>
      <c r="I93" s="168"/>
      <c r="J93" s="169">
        <f>H93+I93</f>
        <v>0</v>
      </c>
      <c r="K93" s="170">
        <f>G93*H93</f>
        <v>0</v>
      </c>
      <c r="L93" s="171">
        <f>G93*I93</f>
        <v>0</v>
      </c>
      <c r="M93" s="169">
        <f>K93+L93</f>
        <v>0</v>
      </c>
      <c r="N93" s="141"/>
      <c r="O93" s="93"/>
    </row>
    <row r="94" spans="1:15" s="146" customFormat="1" ht="30" customHeight="1" outlineLevel="1" x14ac:dyDescent="0.25">
      <c r="A94" s="219" t="s">
        <v>181</v>
      </c>
      <c r="B94" s="198">
        <v>4100006709</v>
      </c>
      <c r="C94" s="210" t="s">
        <v>141</v>
      </c>
      <c r="D94" s="211"/>
      <c r="E94" s="211" t="s">
        <v>115</v>
      </c>
      <c r="F94" s="214">
        <v>1.24</v>
      </c>
      <c r="G94" s="215">
        <f>F94*G93</f>
        <v>5.9594399999999998</v>
      </c>
      <c r="H94" s="216"/>
      <c r="I94" s="214"/>
      <c r="J94" s="215"/>
      <c r="K94" s="217"/>
      <c r="L94" s="214"/>
      <c r="M94" s="215"/>
      <c r="N94" s="144"/>
      <c r="O94" s="145"/>
    </row>
    <row r="95" spans="1:15" s="94" customFormat="1" ht="33" customHeight="1" outlineLevel="1" x14ac:dyDescent="0.25">
      <c r="A95" s="166" t="s">
        <v>182</v>
      </c>
      <c r="B95" s="143"/>
      <c r="C95" s="209" t="s">
        <v>299</v>
      </c>
      <c r="D95" s="167">
        <v>0.2</v>
      </c>
      <c r="E95" s="167" t="s">
        <v>115</v>
      </c>
      <c r="F95" s="212"/>
      <c r="G95" s="169">
        <f>G90*D95</f>
        <v>6.4080000000000004</v>
      </c>
      <c r="H95" s="213">
        <f>F96*H96</f>
        <v>0</v>
      </c>
      <c r="I95" s="168"/>
      <c r="J95" s="169">
        <f>H95+I95</f>
        <v>0</v>
      </c>
      <c r="K95" s="170">
        <f>G95*H95</f>
        <v>0</v>
      </c>
      <c r="L95" s="171">
        <f>G95*I95</f>
        <v>0</v>
      </c>
      <c r="M95" s="169">
        <f>K95+L95</f>
        <v>0</v>
      </c>
      <c r="N95" s="141"/>
      <c r="O95" s="93"/>
    </row>
    <row r="96" spans="1:15" s="146" customFormat="1" ht="30" customHeight="1" outlineLevel="1" x14ac:dyDescent="0.25">
      <c r="A96" s="219" t="s">
        <v>183</v>
      </c>
      <c r="B96" s="198">
        <v>4100004410</v>
      </c>
      <c r="C96" s="210" t="s">
        <v>132</v>
      </c>
      <c r="D96" s="218"/>
      <c r="E96" s="218" t="s">
        <v>115</v>
      </c>
      <c r="F96" s="211">
        <v>1.1000000000000001</v>
      </c>
      <c r="G96" s="215">
        <f>G95*F96</f>
        <v>7.0488000000000008</v>
      </c>
      <c r="H96" s="216"/>
      <c r="I96" s="214"/>
      <c r="J96" s="215"/>
      <c r="K96" s="217"/>
      <c r="L96" s="214"/>
      <c r="M96" s="215"/>
      <c r="N96" s="144"/>
      <c r="O96" s="145"/>
    </row>
    <row r="97" spans="1:15" s="94" customFormat="1" ht="30" customHeight="1" outlineLevel="1" x14ac:dyDescent="0.25">
      <c r="A97" s="166" t="s">
        <v>184</v>
      </c>
      <c r="B97" s="97"/>
      <c r="C97" s="209" t="s">
        <v>134</v>
      </c>
      <c r="D97" s="167"/>
      <c r="E97" s="167" t="s">
        <v>89</v>
      </c>
      <c r="F97" s="212"/>
      <c r="G97" s="169">
        <f>G90</f>
        <v>32.04</v>
      </c>
      <c r="H97" s="213">
        <f>F98*H98</f>
        <v>0</v>
      </c>
      <c r="I97" s="168"/>
      <c r="J97" s="169">
        <f>H97+I97</f>
        <v>0</v>
      </c>
      <c r="K97" s="170">
        <f>G97*H97</f>
        <v>0</v>
      </c>
      <c r="L97" s="171">
        <f>G97*I97</f>
        <v>0</v>
      </c>
      <c r="M97" s="169">
        <f>K97+L97</f>
        <v>0</v>
      </c>
      <c r="N97" s="141"/>
      <c r="O97" s="93"/>
    </row>
    <row r="98" spans="1:15" s="146" customFormat="1" ht="30" customHeight="1" outlineLevel="1" x14ac:dyDescent="0.25">
      <c r="A98" s="219" t="s">
        <v>185</v>
      </c>
      <c r="B98" s="198">
        <v>4100001008</v>
      </c>
      <c r="C98" s="210" t="s">
        <v>146</v>
      </c>
      <c r="D98" s="218"/>
      <c r="E98" s="218" t="s">
        <v>89</v>
      </c>
      <c r="F98" s="211">
        <v>1.1000000000000001</v>
      </c>
      <c r="G98" s="215">
        <f>G97*F98</f>
        <v>35.244</v>
      </c>
      <c r="H98" s="216"/>
      <c r="I98" s="214"/>
      <c r="J98" s="215"/>
      <c r="K98" s="217"/>
      <c r="L98" s="214"/>
      <c r="M98" s="215"/>
      <c r="N98" s="144"/>
      <c r="O98" s="145"/>
    </row>
    <row r="99" spans="1:15" s="335" customFormat="1" ht="33" customHeight="1" x14ac:dyDescent="0.2">
      <c r="A99" s="324" t="s">
        <v>317</v>
      </c>
      <c r="B99" s="325" t="s">
        <v>136</v>
      </c>
      <c r="C99" s="326" t="s">
        <v>300</v>
      </c>
      <c r="D99" s="327">
        <f>SUM(D100:D104)</f>
        <v>0.30000000000000004</v>
      </c>
      <c r="E99" s="374" t="s">
        <v>217</v>
      </c>
      <c r="F99" s="328"/>
      <c r="G99" s="329">
        <v>37</v>
      </c>
      <c r="H99" s="330"/>
      <c r="I99" s="331"/>
      <c r="J99" s="332"/>
      <c r="K99" s="330">
        <f>SUM(K100:K104)</f>
        <v>0</v>
      </c>
      <c r="L99" s="331">
        <f>SUM(L100:L104)</f>
        <v>0</v>
      </c>
      <c r="M99" s="332">
        <f>K99+L99</f>
        <v>0</v>
      </c>
      <c r="N99" s="333"/>
      <c r="O99" s="334"/>
    </row>
    <row r="100" spans="1:15" s="342" customFormat="1" ht="33" customHeight="1" outlineLevel="1" x14ac:dyDescent="0.2">
      <c r="A100" s="336" t="s">
        <v>186</v>
      </c>
      <c r="B100" s="337"/>
      <c r="C100" s="338" t="s">
        <v>301</v>
      </c>
      <c r="D100" s="241">
        <v>0.1</v>
      </c>
      <c r="E100" s="241" t="s">
        <v>217</v>
      </c>
      <c r="F100" s="242"/>
      <c r="G100" s="243">
        <v>37</v>
      </c>
      <c r="H100" s="339"/>
      <c r="I100" s="340"/>
      <c r="J100" s="243">
        <f>H100+I100</f>
        <v>0</v>
      </c>
      <c r="K100" s="246">
        <f>G100*H100</f>
        <v>0</v>
      </c>
      <c r="L100" s="247">
        <f>G100*I100</f>
        <v>0</v>
      </c>
      <c r="M100" s="243">
        <f>K100+L100</f>
        <v>0</v>
      </c>
      <c r="N100" s="207" t="s">
        <v>327</v>
      </c>
      <c r="O100" s="341"/>
    </row>
    <row r="101" spans="1:15" s="353" customFormat="1" ht="33" customHeight="1" outlineLevel="1" x14ac:dyDescent="0.25">
      <c r="A101" s="336" t="s">
        <v>187</v>
      </c>
      <c r="B101" s="343"/>
      <c r="C101" s="344" t="s">
        <v>139</v>
      </c>
      <c r="D101" s="343">
        <v>0.2</v>
      </c>
      <c r="E101" s="343" t="s">
        <v>115</v>
      </c>
      <c r="F101" s="345"/>
      <c r="G101" s="346">
        <f>0.9*0.3*37*D101</f>
        <v>1.9980000000000002</v>
      </c>
      <c r="H101" s="347">
        <f>F102*H102</f>
        <v>0</v>
      </c>
      <c r="I101" s="348"/>
      <c r="J101" s="346">
        <f>H101+I101</f>
        <v>0</v>
      </c>
      <c r="K101" s="349">
        <f>G101*H101</f>
        <v>0</v>
      </c>
      <c r="L101" s="350">
        <f>G101*I101</f>
        <v>0</v>
      </c>
      <c r="M101" s="346">
        <f>K101+L101</f>
        <v>0</v>
      </c>
      <c r="N101" s="351"/>
      <c r="O101" s="352"/>
    </row>
    <row r="102" spans="1:15" s="362" customFormat="1" ht="30" customHeight="1" outlineLevel="1" x14ac:dyDescent="0.25">
      <c r="A102" s="219" t="s">
        <v>188</v>
      </c>
      <c r="B102" s="238">
        <v>4100006709</v>
      </c>
      <c r="C102" s="354" t="s">
        <v>141</v>
      </c>
      <c r="D102" s="355"/>
      <c r="E102" s="355" t="s">
        <v>115</v>
      </c>
      <c r="F102" s="238">
        <v>1.24</v>
      </c>
      <c r="G102" s="356">
        <f>G101*F102</f>
        <v>2.4775200000000002</v>
      </c>
      <c r="H102" s="357"/>
      <c r="I102" s="358"/>
      <c r="J102" s="356"/>
      <c r="K102" s="359"/>
      <c r="L102" s="358"/>
      <c r="M102" s="356"/>
      <c r="N102" s="360"/>
      <c r="O102" s="361"/>
    </row>
    <row r="103" spans="1:15" s="369" customFormat="1" ht="33" customHeight="1" outlineLevel="1" x14ac:dyDescent="0.25">
      <c r="A103" s="240" t="s">
        <v>226</v>
      </c>
      <c r="B103" s="97"/>
      <c r="C103" s="209" t="s">
        <v>134</v>
      </c>
      <c r="D103" s="366"/>
      <c r="E103" s="241" t="s">
        <v>89</v>
      </c>
      <c r="F103" s="242"/>
      <c r="G103" s="243">
        <f>15*2*1.5</f>
        <v>45</v>
      </c>
      <c r="H103" s="244">
        <f>F104*H104</f>
        <v>0</v>
      </c>
      <c r="I103" s="340"/>
      <c r="J103" s="243">
        <f>H103+I103</f>
        <v>0</v>
      </c>
      <c r="K103" s="246">
        <f>G103*H103</f>
        <v>0</v>
      </c>
      <c r="L103" s="247">
        <f>G103*I103</f>
        <v>0</v>
      </c>
      <c r="M103" s="243">
        <f>K103+L103</f>
        <v>0</v>
      </c>
      <c r="N103" s="367"/>
      <c r="O103" s="368"/>
    </row>
    <row r="104" spans="1:15" s="373" customFormat="1" ht="30" customHeight="1" outlineLevel="1" x14ac:dyDescent="0.25">
      <c r="A104" s="219" t="s">
        <v>227</v>
      </c>
      <c r="B104" s="198">
        <v>4100001008</v>
      </c>
      <c r="C104" s="210" t="s">
        <v>146</v>
      </c>
      <c r="D104" s="370"/>
      <c r="E104" s="249" t="s">
        <v>89</v>
      </c>
      <c r="F104" s="250">
        <v>1.1000000000000001</v>
      </c>
      <c r="G104" s="251">
        <f>G103*F104</f>
        <v>49.500000000000007</v>
      </c>
      <c r="H104" s="363"/>
      <c r="I104" s="364"/>
      <c r="J104" s="251"/>
      <c r="K104" s="365"/>
      <c r="L104" s="364"/>
      <c r="M104" s="251"/>
      <c r="N104" s="371"/>
      <c r="O104" s="372"/>
    </row>
    <row r="105" spans="1:15" s="96" customFormat="1" ht="33" customHeight="1" x14ac:dyDescent="0.25">
      <c r="A105" s="220">
        <v>11</v>
      </c>
      <c r="B105" s="239" t="s">
        <v>189</v>
      </c>
      <c r="C105" s="188" t="s">
        <v>302</v>
      </c>
      <c r="D105" s="189">
        <f>SUM(D106:D113)</f>
        <v>0.4</v>
      </c>
      <c r="E105" s="189" t="s">
        <v>89</v>
      </c>
      <c r="F105" s="189"/>
      <c r="G105" s="190">
        <v>115</v>
      </c>
      <c r="H105" s="191"/>
      <c r="I105" s="192"/>
      <c r="J105" s="190"/>
      <c r="K105" s="191">
        <f>SUM(K106:K113)</f>
        <v>0</v>
      </c>
      <c r="L105" s="192">
        <f>SUM(L106:L113)</f>
        <v>0</v>
      </c>
      <c r="M105" s="190">
        <f>K105+L105</f>
        <v>0</v>
      </c>
      <c r="N105" s="95"/>
      <c r="O105" s="142"/>
    </row>
    <row r="106" spans="1:15" s="94" customFormat="1" ht="33" customHeight="1" outlineLevel="1" x14ac:dyDescent="0.25">
      <c r="A106" s="166" t="s">
        <v>190</v>
      </c>
      <c r="B106" s="147"/>
      <c r="C106" s="193" t="s">
        <v>298</v>
      </c>
      <c r="D106" s="161">
        <v>0.05</v>
      </c>
      <c r="E106" s="161" t="s">
        <v>115</v>
      </c>
      <c r="F106" s="196"/>
      <c r="G106" s="163">
        <f>G105*D106</f>
        <v>5.75</v>
      </c>
      <c r="H106" s="197">
        <f>F107*H107</f>
        <v>0</v>
      </c>
      <c r="I106" s="162"/>
      <c r="J106" s="163">
        <f>H106+I106</f>
        <v>0</v>
      </c>
      <c r="K106" s="164">
        <f>G106*H106</f>
        <v>0</v>
      </c>
      <c r="L106" s="165">
        <f>G106*I106</f>
        <v>0</v>
      </c>
      <c r="M106" s="163">
        <f>K106+L106</f>
        <v>0</v>
      </c>
      <c r="N106" s="207"/>
      <c r="O106" s="93"/>
    </row>
    <row r="107" spans="1:15" s="146" customFormat="1" ht="30" customHeight="1" outlineLevel="1" x14ac:dyDescent="0.25">
      <c r="A107" s="219" t="s">
        <v>276</v>
      </c>
      <c r="B107" s="198">
        <v>4100004056</v>
      </c>
      <c r="C107" s="194" t="s">
        <v>192</v>
      </c>
      <c r="D107" s="195"/>
      <c r="E107" s="198" t="s">
        <v>115</v>
      </c>
      <c r="F107" s="201">
        <f>1.24</f>
        <v>1.24</v>
      </c>
      <c r="G107" s="199">
        <f>F107*G106</f>
        <v>7.13</v>
      </c>
      <c r="H107" s="200"/>
      <c r="I107" s="201"/>
      <c r="J107" s="199"/>
      <c r="K107" s="202"/>
      <c r="L107" s="201"/>
      <c r="M107" s="199"/>
      <c r="N107" s="208"/>
      <c r="O107" s="93"/>
    </row>
    <row r="108" spans="1:15" s="94" customFormat="1" ht="33" customHeight="1" outlineLevel="1" x14ac:dyDescent="0.25">
      <c r="A108" s="166" t="s">
        <v>193</v>
      </c>
      <c r="B108" s="97"/>
      <c r="C108" s="209" t="s">
        <v>139</v>
      </c>
      <c r="D108" s="167">
        <v>0.15</v>
      </c>
      <c r="E108" s="167" t="s">
        <v>115</v>
      </c>
      <c r="F108" s="212"/>
      <c r="G108" s="169">
        <f>G105*D108</f>
        <v>17.25</v>
      </c>
      <c r="H108" s="213">
        <f>F109*H109</f>
        <v>0</v>
      </c>
      <c r="I108" s="168"/>
      <c r="J108" s="169">
        <f>H108+I108</f>
        <v>0</v>
      </c>
      <c r="K108" s="170">
        <f>G108*H108</f>
        <v>0</v>
      </c>
      <c r="L108" s="171">
        <f>G108*I108</f>
        <v>0</v>
      </c>
      <c r="M108" s="169">
        <f>K108+L108</f>
        <v>0</v>
      </c>
      <c r="N108" s="141"/>
      <c r="O108" s="93"/>
    </row>
    <row r="109" spans="1:15" s="146" customFormat="1" ht="30" customHeight="1" outlineLevel="1" x14ac:dyDescent="0.25">
      <c r="A109" s="219" t="s">
        <v>194</v>
      </c>
      <c r="B109" s="198">
        <v>4100006709</v>
      </c>
      <c r="C109" s="210" t="s">
        <v>141</v>
      </c>
      <c r="D109" s="211"/>
      <c r="E109" s="211" t="s">
        <v>115</v>
      </c>
      <c r="F109" s="214">
        <v>1.24</v>
      </c>
      <c r="G109" s="215">
        <f>F109*G108</f>
        <v>21.39</v>
      </c>
      <c r="H109" s="216"/>
      <c r="I109" s="214"/>
      <c r="J109" s="215"/>
      <c r="K109" s="217"/>
      <c r="L109" s="214"/>
      <c r="M109" s="215"/>
      <c r="N109" s="144"/>
      <c r="O109" s="145"/>
    </row>
    <row r="110" spans="1:15" s="94" customFormat="1" ht="33" customHeight="1" outlineLevel="1" x14ac:dyDescent="0.25">
      <c r="A110" s="166" t="s">
        <v>195</v>
      </c>
      <c r="B110" s="143"/>
      <c r="C110" s="209" t="s">
        <v>299</v>
      </c>
      <c r="D110" s="167">
        <v>0.2</v>
      </c>
      <c r="E110" s="167" t="s">
        <v>115</v>
      </c>
      <c r="F110" s="212"/>
      <c r="G110" s="169">
        <f>G105*D110</f>
        <v>23</v>
      </c>
      <c r="H110" s="213">
        <f>F111*H111</f>
        <v>0</v>
      </c>
      <c r="I110" s="168"/>
      <c r="J110" s="169">
        <f>H110+I110</f>
        <v>0</v>
      </c>
      <c r="K110" s="170">
        <f>G110*H110</f>
        <v>0</v>
      </c>
      <c r="L110" s="171">
        <f>G110*I110</f>
        <v>0</v>
      </c>
      <c r="M110" s="169">
        <f>K110+L110</f>
        <v>0</v>
      </c>
      <c r="N110" s="141"/>
      <c r="O110" s="93"/>
    </row>
    <row r="111" spans="1:15" s="146" customFormat="1" ht="30" customHeight="1" outlineLevel="1" x14ac:dyDescent="0.25">
      <c r="A111" s="219" t="s">
        <v>277</v>
      </c>
      <c r="B111" s="198">
        <v>4100004410</v>
      </c>
      <c r="C111" s="210" t="s">
        <v>132</v>
      </c>
      <c r="D111" s="218"/>
      <c r="E111" s="218" t="s">
        <v>115</v>
      </c>
      <c r="F111" s="211">
        <v>1.1000000000000001</v>
      </c>
      <c r="G111" s="215">
        <f>G110*F111</f>
        <v>25.3</v>
      </c>
      <c r="H111" s="216"/>
      <c r="I111" s="214"/>
      <c r="J111" s="215"/>
      <c r="K111" s="217"/>
      <c r="L111" s="214"/>
      <c r="M111" s="215"/>
      <c r="N111" s="144"/>
      <c r="O111" s="145"/>
    </row>
    <row r="112" spans="1:15" s="94" customFormat="1" ht="30" customHeight="1" outlineLevel="1" x14ac:dyDescent="0.25">
      <c r="A112" s="166" t="s">
        <v>196</v>
      </c>
      <c r="B112" s="97"/>
      <c r="C112" s="209" t="s">
        <v>134</v>
      </c>
      <c r="D112" s="167"/>
      <c r="E112" s="167" t="s">
        <v>89</v>
      </c>
      <c r="F112" s="212"/>
      <c r="G112" s="169">
        <f>G105</f>
        <v>115</v>
      </c>
      <c r="H112" s="213">
        <f>F113*H113</f>
        <v>0</v>
      </c>
      <c r="I112" s="168"/>
      <c r="J112" s="169">
        <f>H112+I112</f>
        <v>0</v>
      </c>
      <c r="K112" s="170">
        <f>G112*H112</f>
        <v>0</v>
      </c>
      <c r="L112" s="171">
        <f>G112*I112</f>
        <v>0</v>
      </c>
      <c r="M112" s="169">
        <f>K112+L112</f>
        <v>0</v>
      </c>
      <c r="N112" s="141"/>
      <c r="O112" s="93"/>
    </row>
    <row r="113" spans="1:15" s="146" customFormat="1" ht="30" customHeight="1" outlineLevel="1" x14ac:dyDescent="0.25">
      <c r="A113" s="219" t="s">
        <v>268</v>
      </c>
      <c r="B113" s="198">
        <v>4100001008</v>
      </c>
      <c r="C113" s="210" t="s">
        <v>146</v>
      </c>
      <c r="D113" s="218"/>
      <c r="E113" s="218" t="s">
        <v>89</v>
      </c>
      <c r="F113" s="211">
        <v>1.1000000000000001</v>
      </c>
      <c r="G113" s="215">
        <f>G112*F113</f>
        <v>126.50000000000001</v>
      </c>
      <c r="H113" s="216"/>
      <c r="I113" s="214"/>
      <c r="J113" s="215"/>
      <c r="K113" s="217"/>
      <c r="L113" s="214"/>
      <c r="M113" s="215"/>
      <c r="N113" s="144"/>
      <c r="O113" s="145"/>
    </row>
    <row r="114" spans="1:15" s="318" customFormat="1" ht="33" customHeight="1" x14ac:dyDescent="0.25">
      <c r="A114" s="205">
        <v>12</v>
      </c>
      <c r="B114" s="239" t="s">
        <v>171</v>
      </c>
      <c r="C114" s="224" t="s">
        <v>340</v>
      </c>
      <c r="D114" s="189">
        <f>SUM(D115:D127)</f>
        <v>0.5</v>
      </c>
      <c r="E114" s="189" t="s">
        <v>89</v>
      </c>
      <c r="F114" s="189"/>
      <c r="G114" s="190">
        <v>412</v>
      </c>
      <c r="H114" s="191"/>
      <c r="I114" s="192"/>
      <c r="J114" s="190"/>
      <c r="K114" s="191">
        <f>SUM(K115:K127)</f>
        <v>0</v>
      </c>
      <c r="L114" s="192">
        <f>SUM(L115:L127)</f>
        <v>0</v>
      </c>
      <c r="M114" s="190">
        <f>K114+L114</f>
        <v>0</v>
      </c>
      <c r="N114" s="206" t="s">
        <v>341</v>
      </c>
      <c r="O114" s="317"/>
    </row>
    <row r="115" spans="1:15" s="321" customFormat="1" ht="32.25" customHeight="1" outlineLevel="1" x14ac:dyDescent="0.25">
      <c r="A115" s="160" t="s">
        <v>198</v>
      </c>
      <c r="B115" s="147"/>
      <c r="C115" s="193" t="s">
        <v>331</v>
      </c>
      <c r="D115" s="161">
        <v>0.15</v>
      </c>
      <c r="E115" s="161" t="s">
        <v>115</v>
      </c>
      <c r="F115" s="196"/>
      <c r="G115" s="163">
        <f>G114*D115</f>
        <v>61.8</v>
      </c>
      <c r="H115" s="197">
        <f>F116*H116</f>
        <v>0</v>
      </c>
      <c r="I115" s="162"/>
      <c r="J115" s="163">
        <f>H115+I115</f>
        <v>0</v>
      </c>
      <c r="K115" s="164">
        <f>G115*H115</f>
        <v>0</v>
      </c>
      <c r="L115" s="165">
        <f>G115*I115</f>
        <v>0</v>
      </c>
      <c r="M115" s="163">
        <f>K115+L115</f>
        <v>0</v>
      </c>
      <c r="N115" s="207"/>
      <c r="O115" s="376"/>
    </row>
    <row r="116" spans="1:15" s="321" customFormat="1" ht="30" customHeight="1" outlineLevel="1" x14ac:dyDescent="0.25">
      <c r="A116" s="204" t="s">
        <v>318</v>
      </c>
      <c r="B116" s="198"/>
      <c r="C116" s="194" t="s">
        <v>332</v>
      </c>
      <c r="D116" s="195"/>
      <c r="E116" s="198" t="s">
        <v>115</v>
      </c>
      <c r="F116" s="201">
        <f>1.24</f>
        <v>1.24</v>
      </c>
      <c r="G116" s="199">
        <f>F116*G115</f>
        <v>76.631999999999991</v>
      </c>
      <c r="H116" s="200"/>
      <c r="I116" s="201"/>
      <c r="J116" s="199"/>
      <c r="K116" s="202"/>
      <c r="L116" s="201"/>
      <c r="M116" s="199"/>
      <c r="N116" s="208"/>
      <c r="O116" s="376"/>
    </row>
    <row r="117" spans="1:15" s="321" customFormat="1" ht="39.950000000000003" customHeight="1" outlineLevel="1" x14ac:dyDescent="0.25">
      <c r="A117" s="160" t="s">
        <v>278</v>
      </c>
      <c r="B117" s="161"/>
      <c r="C117" s="193" t="s">
        <v>134</v>
      </c>
      <c r="D117" s="161"/>
      <c r="E117" s="161" t="s">
        <v>89</v>
      </c>
      <c r="F117" s="196"/>
      <c r="G117" s="163">
        <f>G114</f>
        <v>412</v>
      </c>
      <c r="H117" s="197">
        <f>F118*H118</f>
        <v>0</v>
      </c>
      <c r="I117" s="162"/>
      <c r="J117" s="163">
        <f>H117+I117</f>
        <v>0</v>
      </c>
      <c r="K117" s="164">
        <f>G117*H117</f>
        <v>0</v>
      </c>
      <c r="L117" s="165">
        <f>G117*I117</f>
        <v>0</v>
      </c>
      <c r="M117" s="163">
        <f>K117+L117</f>
        <v>0</v>
      </c>
      <c r="N117" s="207"/>
      <c r="O117" s="376"/>
    </row>
    <row r="118" spans="1:15" s="321" customFormat="1" ht="30" customHeight="1" outlineLevel="1" x14ac:dyDescent="0.25">
      <c r="A118" s="204" t="s">
        <v>279</v>
      </c>
      <c r="B118" s="198">
        <v>4100001008</v>
      </c>
      <c r="C118" s="194" t="s">
        <v>146</v>
      </c>
      <c r="D118" s="198"/>
      <c r="E118" s="195" t="s">
        <v>89</v>
      </c>
      <c r="F118" s="198">
        <v>1.1000000000000001</v>
      </c>
      <c r="G118" s="199">
        <f>F118*G117</f>
        <v>453.20000000000005</v>
      </c>
      <c r="H118" s="200"/>
      <c r="I118" s="201"/>
      <c r="J118" s="199"/>
      <c r="K118" s="202"/>
      <c r="L118" s="201"/>
      <c r="M118" s="199"/>
      <c r="N118" s="208"/>
      <c r="O118" s="376"/>
    </row>
    <row r="119" spans="1:15" s="319" customFormat="1" ht="33" customHeight="1" outlineLevel="1" x14ac:dyDescent="0.25">
      <c r="A119" s="160" t="s">
        <v>280</v>
      </c>
      <c r="B119" s="161"/>
      <c r="C119" s="193" t="s">
        <v>333</v>
      </c>
      <c r="D119" s="161">
        <v>0.15</v>
      </c>
      <c r="E119" s="161" t="s">
        <v>115</v>
      </c>
      <c r="F119" s="196"/>
      <c r="G119" s="163">
        <f>G114*D119</f>
        <v>61.8</v>
      </c>
      <c r="H119" s="197">
        <f>(G120*H120+G121*H121)/G119</f>
        <v>0</v>
      </c>
      <c r="I119" s="162"/>
      <c r="J119" s="163">
        <f>H119+I119</f>
        <v>0</v>
      </c>
      <c r="K119" s="164">
        <f>G119*H119</f>
        <v>0</v>
      </c>
      <c r="L119" s="165">
        <f>G119*I119</f>
        <v>0</v>
      </c>
      <c r="M119" s="163">
        <f>K119+L119</f>
        <v>0</v>
      </c>
      <c r="N119" s="207"/>
      <c r="O119" s="264"/>
    </row>
    <row r="120" spans="1:15" s="321" customFormat="1" ht="30" customHeight="1" outlineLevel="1" x14ac:dyDescent="0.25">
      <c r="A120" s="204" t="s">
        <v>281</v>
      </c>
      <c r="B120" s="198">
        <v>4100008423</v>
      </c>
      <c r="C120" s="194" t="s">
        <v>334</v>
      </c>
      <c r="D120" s="198"/>
      <c r="E120" s="198" t="s">
        <v>115</v>
      </c>
      <c r="F120" s="201">
        <v>1.24</v>
      </c>
      <c r="G120" s="199">
        <f>F120*G119</f>
        <v>76.631999999999991</v>
      </c>
      <c r="H120" s="200"/>
      <c r="I120" s="201"/>
      <c r="J120" s="199"/>
      <c r="K120" s="202"/>
      <c r="L120" s="201"/>
      <c r="M120" s="199"/>
      <c r="N120" s="208"/>
      <c r="O120" s="320"/>
    </row>
    <row r="121" spans="1:15" s="378" customFormat="1" ht="33" customHeight="1" outlineLevel="1" x14ac:dyDescent="0.25">
      <c r="A121" s="204" t="s">
        <v>286</v>
      </c>
      <c r="B121" s="238">
        <v>4100008426</v>
      </c>
      <c r="C121" s="194" t="s">
        <v>241</v>
      </c>
      <c r="D121" s="198"/>
      <c r="E121" s="198" t="s">
        <v>115</v>
      </c>
      <c r="F121" s="201">
        <v>0.1</v>
      </c>
      <c r="G121" s="199">
        <f>F121*G119</f>
        <v>6.18</v>
      </c>
      <c r="H121" s="200"/>
      <c r="I121" s="201"/>
      <c r="J121" s="199"/>
      <c r="K121" s="202"/>
      <c r="L121" s="201"/>
      <c r="M121" s="199"/>
      <c r="N121" s="208"/>
      <c r="O121" s="377"/>
    </row>
    <row r="122" spans="1:15" s="378" customFormat="1" ht="33" customHeight="1" outlineLevel="1" x14ac:dyDescent="0.25">
      <c r="A122" s="240" t="s">
        <v>282</v>
      </c>
      <c r="B122" s="241"/>
      <c r="C122" s="338" t="s">
        <v>335</v>
      </c>
      <c r="D122" s="241"/>
      <c r="E122" s="241" t="s">
        <v>89</v>
      </c>
      <c r="F122" s="242"/>
      <c r="G122" s="243">
        <f>G114</f>
        <v>412</v>
      </c>
      <c r="H122" s="197">
        <f>F123*H123</f>
        <v>0</v>
      </c>
      <c r="I122" s="162"/>
      <c r="J122" s="163">
        <f>H122+I122</f>
        <v>0</v>
      </c>
      <c r="K122" s="164">
        <f>G122*H122</f>
        <v>0</v>
      </c>
      <c r="L122" s="165">
        <f>G122*I122</f>
        <v>0</v>
      </c>
      <c r="M122" s="163">
        <f>K122+L122</f>
        <v>0</v>
      </c>
      <c r="N122" s="423"/>
      <c r="O122" s="377"/>
    </row>
    <row r="123" spans="1:15" s="378" customFormat="1" ht="33" customHeight="1" outlineLevel="1" x14ac:dyDescent="0.25">
      <c r="A123" s="240" t="s">
        <v>337</v>
      </c>
      <c r="B123" s="238">
        <v>4100001006</v>
      </c>
      <c r="C123" s="424" t="s">
        <v>336</v>
      </c>
      <c r="D123" s="250"/>
      <c r="E123" s="249" t="s">
        <v>89</v>
      </c>
      <c r="F123" s="250">
        <v>1.1000000000000001</v>
      </c>
      <c r="G123" s="251">
        <f>F123*G122</f>
        <v>453.20000000000005</v>
      </c>
      <c r="H123" s="200"/>
      <c r="I123" s="201"/>
      <c r="J123" s="199"/>
      <c r="K123" s="202"/>
      <c r="L123" s="201"/>
      <c r="M123" s="199"/>
      <c r="N123" s="423"/>
      <c r="O123" s="377"/>
    </row>
    <row r="124" spans="1:15" s="94" customFormat="1" ht="33" customHeight="1" outlineLevel="1" x14ac:dyDescent="0.25">
      <c r="A124" s="166" t="s">
        <v>283</v>
      </c>
      <c r="B124" s="143"/>
      <c r="C124" s="209" t="s">
        <v>299</v>
      </c>
      <c r="D124" s="167">
        <v>0.2</v>
      </c>
      <c r="E124" s="167" t="s">
        <v>115</v>
      </c>
      <c r="F124" s="212"/>
      <c r="G124" s="169">
        <f>G114*D124</f>
        <v>82.4</v>
      </c>
      <c r="H124" s="213">
        <f>F125*H125</f>
        <v>0</v>
      </c>
      <c r="I124" s="168"/>
      <c r="J124" s="169">
        <f>H124+I124</f>
        <v>0</v>
      </c>
      <c r="K124" s="170">
        <f>G124*H124</f>
        <v>0</v>
      </c>
      <c r="L124" s="171">
        <f>G124*I124</f>
        <v>0</v>
      </c>
      <c r="M124" s="169">
        <f>K124+L124</f>
        <v>0</v>
      </c>
      <c r="N124" s="141"/>
      <c r="O124" s="93"/>
    </row>
    <row r="125" spans="1:15" s="146" customFormat="1" ht="30" customHeight="1" outlineLevel="1" x14ac:dyDescent="0.25">
      <c r="A125" s="219" t="s">
        <v>284</v>
      </c>
      <c r="B125" s="198">
        <v>4100004410</v>
      </c>
      <c r="C125" s="210" t="s">
        <v>132</v>
      </c>
      <c r="D125" s="218"/>
      <c r="E125" s="218" t="s">
        <v>115</v>
      </c>
      <c r="F125" s="211">
        <v>1.1000000000000001</v>
      </c>
      <c r="G125" s="215">
        <f>G124*F125</f>
        <v>90.640000000000015</v>
      </c>
      <c r="H125" s="216"/>
      <c r="I125" s="214"/>
      <c r="J125" s="215"/>
      <c r="K125" s="217"/>
      <c r="L125" s="214"/>
      <c r="M125" s="215"/>
      <c r="N125" s="144"/>
      <c r="O125" s="145"/>
    </row>
    <row r="126" spans="1:15" s="94" customFormat="1" ht="30" customHeight="1" outlineLevel="1" x14ac:dyDescent="0.25">
      <c r="A126" s="166" t="s">
        <v>338</v>
      </c>
      <c r="B126" s="97"/>
      <c r="C126" s="209" t="s">
        <v>134</v>
      </c>
      <c r="D126" s="167"/>
      <c r="E126" s="167" t="s">
        <v>89</v>
      </c>
      <c r="F126" s="212"/>
      <c r="G126" s="169">
        <f>G114</f>
        <v>412</v>
      </c>
      <c r="H126" s="213">
        <f>F127*H127</f>
        <v>0</v>
      </c>
      <c r="I126" s="168"/>
      <c r="J126" s="169">
        <f>H126+I126</f>
        <v>0</v>
      </c>
      <c r="K126" s="170">
        <f>G126*H126</f>
        <v>0</v>
      </c>
      <c r="L126" s="171">
        <f>G126*I126</f>
        <v>0</v>
      </c>
      <c r="M126" s="169">
        <f>K126+L126</f>
        <v>0</v>
      </c>
      <c r="N126" s="141"/>
      <c r="O126" s="93"/>
    </row>
    <row r="127" spans="1:15" s="146" customFormat="1" ht="30" customHeight="1" outlineLevel="1" x14ac:dyDescent="0.25">
      <c r="A127" s="219" t="s">
        <v>339</v>
      </c>
      <c r="B127" s="198">
        <v>4100001008</v>
      </c>
      <c r="C127" s="210" t="s">
        <v>146</v>
      </c>
      <c r="D127" s="218"/>
      <c r="E127" s="218" t="s">
        <v>89</v>
      </c>
      <c r="F127" s="211">
        <v>1.1000000000000001</v>
      </c>
      <c r="G127" s="215">
        <f>G126*F127</f>
        <v>453.20000000000005</v>
      </c>
      <c r="H127" s="216"/>
      <c r="I127" s="214"/>
      <c r="J127" s="215"/>
      <c r="K127" s="217"/>
      <c r="L127" s="214"/>
      <c r="M127" s="215"/>
      <c r="N127" s="144"/>
      <c r="O127" s="145"/>
    </row>
    <row r="128" spans="1:15" s="318" customFormat="1" ht="33" customHeight="1" x14ac:dyDescent="0.25">
      <c r="A128" s="205">
        <v>13</v>
      </c>
      <c r="B128" s="239" t="s">
        <v>203</v>
      </c>
      <c r="C128" s="188" t="s">
        <v>204</v>
      </c>
      <c r="D128" s="189">
        <f>SUM(D129)</f>
        <v>0.15</v>
      </c>
      <c r="E128" s="189" t="s">
        <v>89</v>
      </c>
      <c r="F128" s="189"/>
      <c r="G128" s="190">
        <v>2391</v>
      </c>
      <c r="H128" s="191"/>
      <c r="I128" s="192"/>
      <c r="J128" s="190"/>
      <c r="K128" s="191">
        <f>SUM(K129:K129)</f>
        <v>0</v>
      </c>
      <c r="L128" s="192">
        <f>SUM(L129:L129)</f>
        <v>0</v>
      </c>
      <c r="M128" s="190">
        <f>K128+L128</f>
        <v>0</v>
      </c>
      <c r="N128" s="455" t="s">
        <v>351</v>
      </c>
      <c r="O128" s="317"/>
    </row>
    <row r="129" spans="1:15" s="440" customFormat="1" ht="52.5" customHeight="1" outlineLevel="1" x14ac:dyDescent="0.25">
      <c r="A129" s="429" t="s">
        <v>261</v>
      </c>
      <c r="B129" s="430"/>
      <c r="C129" s="441" t="s">
        <v>202</v>
      </c>
      <c r="D129" s="432">
        <v>0.15</v>
      </c>
      <c r="E129" s="432" t="s">
        <v>89</v>
      </c>
      <c r="F129" s="433"/>
      <c r="G129" s="428">
        <f>G128</f>
        <v>2391</v>
      </c>
      <c r="H129" s="456"/>
      <c r="I129" s="457"/>
      <c r="J129" s="458"/>
      <c r="K129" s="459"/>
      <c r="L129" s="460"/>
      <c r="M129" s="458"/>
      <c r="N129" s="461"/>
      <c r="O129" s="439"/>
    </row>
    <row r="130" spans="1:15" s="318" customFormat="1" ht="33" customHeight="1" x14ac:dyDescent="0.25">
      <c r="A130" s="205">
        <v>14</v>
      </c>
      <c r="B130" s="239" t="s">
        <v>206</v>
      </c>
      <c r="C130" s="224" t="s">
        <v>207</v>
      </c>
      <c r="D130" s="189"/>
      <c r="E130" s="189"/>
      <c r="F130" s="189"/>
      <c r="G130" s="190"/>
      <c r="H130" s="191"/>
      <c r="I130" s="192"/>
      <c r="J130" s="190"/>
      <c r="K130" s="191">
        <f>SUM(K131:K136)</f>
        <v>0</v>
      </c>
      <c r="L130" s="192">
        <f>SUM(L131:L136)</f>
        <v>0</v>
      </c>
      <c r="M130" s="190">
        <f>K130+L130</f>
        <v>0</v>
      </c>
      <c r="N130" s="206"/>
      <c r="O130" s="317"/>
    </row>
    <row r="131" spans="1:15" s="319" customFormat="1" ht="33" customHeight="1" outlineLevel="1" x14ac:dyDescent="0.25">
      <c r="A131" s="160" t="s">
        <v>205</v>
      </c>
      <c r="B131" s="161"/>
      <c r="C131" s="260" t="s">
        <v>303</v>
      </c>
      <c r="D131" s="161"/>
      <c r="E131" s="161" t="s">
        <v>209</v>
      </c>
      <c r="F131" s="196"/>
      <c r="G131" s="428">
        <f>379</f>
        <v>379</v>
      </c>
      <c r="H131" s="197">
        <f>H132*G132/G131</f>
        <v>0</v>
      </c>
      <c r="I131" s="302"/>
      <c r="J131" s="163">
        <f>H131+I131</f>
        <v>0</v>
      </c>
      <c r="K131" s="164">
        <f>G131*H131</f>
        <v>0</v>
      </c>
      <c r="L131" s="165">
        <f>G131*I131</f>
        <v>0</v>
      </c>
      <c r="M131" s="163">
        <f>K131+L131</f>
        <v>0</v>
      </c>
      <c r="N131" s="475" t="s">
        <v>210</v>
      </c>
      <c r="O131" s="264" t="s">
        <v>348</v>
      </c>
    </row>
    <row r="132" spans="1:15" s="319" customFormat="1" ht="33" customHeight="1" outlineLevel="1" x14ac:dyDescent="0.25">
      <c r="A132" s="204" t="s">
        <v>319</v>
      </c>
      <c r="B132" s="198">
        <v>4100001914</v>
      </c>
      <c r="C132" s="303" t="s">
        <v>266</v>
      </c>
      <c r="D132" s="161"/>
      <c r="E132" s="198" t="s">
        <v>209</v>
      </c>
      <c r="F132" s="304"/>
      <c r="G132" s="199">
        <f>G131</f>
        <v>379</v>
      </c>
      <c r="H132" s="200"/>
      <c r="I132" s="201"/>
      <c r="J132" s="199"/>
      <c r="K132" s="202"/>
      <c r="L132" s="201"/>
      <c r="M132" s="199"/>
      <c r="N132" s="476"/>
      <c r="O132" s="264"/>
    </row>
    <row r="133" spans="1:15" s="319" customFormat="1" ht="33" customHeight="1" outlineLevel="1" x14ac:dyDescent="0.25">
      <c r="A133" s="160" t="s">
        <v>320</v>
      </c>
      <c r="B133" s="161"/>
      <c r="C133" s="260" t="s">
        <v>304</v>
      </c>
      <c r="D133" s="161"/>
      <c r="E133" s="161" t="s">
        <v>209</v>
      </c>
      <c r="F133" s="196"/>
      <c r="G133" s="163">
        <v>1062</v>
      </c>
      <c r="H133" s="197">
        <f>H134*G134/G133</f>
        <v>0</v>
      </c>
      <c r="I133" s="302"/>
      <c r="J133" s="163">
        <f>H133+I133</f>
        <v>0</v>
      </c>
      <c r="K133" s="164">
        <f>G133*H133</f>
        <v>0</v>
      </c>
      <c r="L133" s="165">
        <f>G133*I133</f>
        <v>0</v>
      </c>
      <c r="M133" s="163">
        <f>K133+L133</f>
        <v>0</v>
      </c>
      <c r="N133" s="476"/>
      <c r="O133" s="264"/>
    </row>
    <row r="134" spans="1:15" s="319" customFormat="1" ht="33" customHeight="1" outlineLevel="1" x14ac:dyDescent="0.25">
      <c r="A134" s="204" t="s">
        <v>321</v>
      </c>
      <c r="B134" s="198">
        <v>4100001913</v>
      </c>
      <c r="C134" s="303" t="s">
        <v>267</v>
      </c>
      <c r="D134" s="161"/>
      <c r="E134" s="198" t="s">
        <v>209</v>
      </c>
      <c r="F134" s="304"/>
      <c r="G134" s="199">
        <f>G133</f>
        <v>1062</v>
      </c>
      <c r="H134" s="200"/>
      <c r="I134" s="201"/>
      <c r="J134" s="199"/>
      <c r="K134" s="202"/>
      <c r="L134" s="201"/>
      <c r="M134" s="199"/>
      <c r="N134" s="476"/>
      <c r="O134" s="264"/>
    </row>
    <row r="135" spans="1:15" s="319" customFormat="1" ht="33" customHeight="1" outlineLevel="1" x14ac:dyDescent="0.25">
      <c r="A135" s="160" t="s">
        <v>322</v>
      </c>
      <c r="B135" s="161"/>
      <c r="C135" s="260" t="s">
        <v>350</v>
      </c>
      <c r="D135" s="161"/>
      <c r="E135" s="161" t="s">
        <v>209</v>
      </c>
      <c r="F135" s="196"/>
      <c r="G135" s="428">
        <v>112</v>
      </c>
      <c r="H135" s="197">
        <f>H136*G136/G135</f>
        <v>0</v>
      </c>
      <c r="I135" s="302"/>
      <c r="J135" s="163">
        <f>H135+I135</f>
        <v>0</v>
      </c>
      <c r="K135" s="164">
        <f>G135*H135</f>
        <v>0</v>
      </c>
      <c r="L135" s="165">
        <f>G135*I135</f>
        <v>0</v>
      </c>
      <c r="M135" s="163">
        <f>K135+L135</f>
        <v>0</v>
      </c>
      <c r="N135" s="476"/>
      <c r="O135" s="380"/>
    </row>
    <row r="136" spans="1:15" s="319" customFormat="1" ht="33" customHeight="1" outlineLevel="1" x14ac:dyDescent="0.25">
      <c r="A136" s="204" t="s">
        <v>323</v>
      </c>
      <c r="B136" s="198"/>
      <c r="C136" s="303" t="s">
        <v>272</v>
      </c>
      <c r="D136" s="161"/>
      <c r="E136" s="198" t="s">
        <v>209</v>
      </c>
      <c r="F136" s="304"/>
      <c r="G136" s="199">
        <f>G135</f>
        <v>112</v>
      </c>
      <c r="H136" s="200"/>
      <c r="I136" s="201"/>
      <c r="J136" s="199"/>
      <c r="K136" s="202"/>
      <c r="L136" s="201"/>
      <c r="M136" s="199"/>
      <c r="N136" s="477"/>
      <c r="O136" s="264"/>
    </row>
    <row r="137" spans="1:15" s="318" customFormat="1" ht="33" customHeight="1" x14ac:dyDescent="0.25">
      <c r="A137" s="205">
        <v>15</v>
      </c>
      <c r="B137" s="239" t="s">
        <v>211</v>
      </c>
      <c r="C137" s="224" t="s">
        <v>251</v>
      </c>
      <c r="D137" s="189"/>
      <c r="E137" s="189"/>
      <c r="F137" s="189"/>
      <c r="G137" s="190"/>
      <c r="H137" s="191"/>
      <c r="I137" s="192"/>
      <c r="J137" s="190"/>
      <c r="K137" s="191">
        <f>SUM(K138)</f>
        <v>0</v>
      </c>
      <c r="L137" s="192">
        <f>SUM(L138)</f>
        <v>0</v>
      </c>
      <c r="M137" s="190">
        <f t="shared" ref="M137:M147" si="9">K137+L137</f>
        <v>0</v>
      </c>
      <c r="N137" s="262"/>
      <c r="O137" s="317"/>
    </row>
    <row r="138" spans="1:15" s="319" customFormat="1" ht="43.5" customHeight="1" outlineLevel="1" x14ac:dyDescent="0.25">
      <c r="A138" s="259" t="s">
        <v>208</v>
      </c>
      <c r="B138" s="161"/>
      <c r="C138" s="260" t="s">
        <v>213</v>
      </c>
      <c r="D138" s="161"/>
      <c r="E138" s="161" t="s">
        <v>209</v>
      </c>
      <c r="F138" s="196"/>
      <c r="G138" s="163">
        <v>138</v>
      </c>
      <c r="H138" s="200"/>
      <c r="I138" s="162"/>
      <c r="J138" s="163">
        <f>H138+I138</f>
        <v>0</v>
      </c>
      <c r="K138" s="164">
        <f>G138*H138</f>
        <v>0</v>
      </c>
      <c r="L138" s="165">
        <f>G138*I138</f>
        <v>0</v>
      </c>
      <c r="M138" s="163">
        <f t="shared" si="9"/>
        <v>0</v>
      </c>
      <c r="N138" s="261" t="s">
        <v>328</v>
      </c>
      <c r="O138" s="264"/>
    </row>
    <row r="139" spans="1:15" s="318" customFormat="1" ht="33" customHeight="1" x14ac:dyDescent="0.25">
      <c r="A139" s="205">
        <v>16</v>
      </c>
      <c r="B139" s="239"/>
      <c r="C139" s="224" t="s">
        <v>214</v>
      </c>
      <c r="D139" s="189"/>
      <c r="E139" s="189"/>
      <c r="F139" s="189"/>
      <c r="G139" s="190"/>
      <c r="H139" s="191"/>
      <c r="I139" s="192"/>
      <c r="J139" s="190"/>
      <c r="K139" s="191">
        <f>SUM(K140:K143)</f>
        <v>0</v>
      </c>
      <c r="L139" s="192">
        <f>SUM(L140:L143)</f>
        <v>0</v>
      </c>
      <c r="M139" s="190">
        <f t="shared" si="9"/>
        <v>0</v>
      </c>
      <c r="N139" s="206"/>
      <c r="O139" s="317"/>
    </row>
    <row r="140" spans="1:15" s="319" customFormat="1" ht="39" customHeight="1" outlineLevel="1" x14ac:dyDescent="0.25">
      <c r="A140" s="263" t="s">
        <v>212</v>
      </c>
      <c r="B140" s="241" t="s">
        <v>216</v>
      </c>
      <c r="C140" s="385" t="s">
        <v>287</v>
      </c>
      <c r="D140" s="241"/>
      <c r="E140" s="241" t="s">
        <v>209</v>
      </c>
      <c r="F140" s="242"/>
      <c r="G140" s="243">
        <v>23.5</v>
      </c>
      <c r="H140" s="363"/>
      <c r="I140" s="340"/>
      <c r="J140" s="243">
        <f>H140+I140</f>
        <v>0</v>
      </c>
      <c r="K140" s="246">
        <f>G140*H140</f>
        <v>0</v>
      </c>
      <c r="L140" s="247">
        <f>G140*I140</f>
        <v>0</v>
      </c>
      <c r="M140" s="243">
        <f t="shared" si="9"/>
        <v>0</v>
      </c>
      <c r="N140" s="475" t="s">
        <v>218</v>
      </c>
      <c r="O140" s="264"/>
    </row>
    <row r="141" spans="1:15" s="319" customFormat="1" ht="39" customHeight="1" outlineLevel="1" x14ac:dyDescent="0.25">
      <c r="A141" s="263" t="s">
        <v>324</v>
      </c>
      <c r="B141" s="241" t="s">
        <v>216</v>
      </c>
      <c r="C141" s="381" t="s">
        <v>288</v>
      </c>
      <c r="D141" s="241"/>
      <c r="E141" s="241" t="s">
        <v>217</v>
      </c>
      <c r="F141" s="242"/>
      <c r="G141" s="243">
        <v>1</v>
      </c>
      <c r="H141" s="382"/>
      <c r="I141" s="383"/>
      <c r="J141" s="243">
        <f>H141+I141</f>
        <v>0</v>
      </c>
      <c r="K141" s="246">
        <f>G141*H141</f>
        <v>0</v>
      </c>
      <c r="L141" s="247">
        <f>G141*I141</f>
        <v>0</v>
      </c>
      <c r="M141" s="243">
        <f t="shared" si="9"/>
        <v>0</v>
      </c>
      <c r="N141" s="476"/>
      <c r="O141" s="264"/>
    </row>
    <row r="142" spans="1:15" s="319" customFormat="1" ht="39" customHeight="1" outlineLevel="1" x14ac:dyDescent="0.25">
      <c r="A142" s="263" t="s">
        <v>325</v>
      </c>
      <c r="B142" s="241" t="s">
        <v>216</v>
      </c>
      <c r="C142" s="381" t="s">
        <v>289</v>
      </c>
      <c r="D142" s="241"/>
      <c r="E142" s="241" t="s">
        <v>217</v>
      </c>
      <c r="F142" s="242"/>
      <c r="G142" s="243">
        <v>1</v>
      </c>
      <c r="H142" s="382"/>
      <c r="I142" s="383"/>
      <c r="J142" s="243">
        <f>H142+I142</f>
        <v>0</v>
      </c>
      <c r="K142" s="246">
        <f>G142*H142</f>
        <v>0</v>
      </c>
      <c r="L142" s="247">
        <f>G142*I142</f>
        <v>0</v>
      </c>
      <c r="M142" s="243">
        <f t="shared" si="9"/>
        <v>0</v>
      </c>
      <c r="N142" s="476"/>
      <c r="O142" s="264"/>
    </row>
    <row r="143" spans="1:15" s="319" customFormat="1" ht="39" customHeight="1" outlineLevel="1" x14ac:dyDescent="0.25">
      <c r="A143" s="263" t="s">
        <v>326</v>
      </c>
      <c r="B143" s="241" t="s">
        <v>219</v>
      </c>
      <c r="C143" s="384" t="s">
        <v>306</v>
      </c>
      <c r="D143" s="241"/>
      <c r="E143" s="241" t="s">
        <v>209</v>
      </c>
      <c r="F143" s="242"/>
      <c r="G143" s="243">
        <v>62</v>
      </c>
      <c r="H143" s="363"/>
      <c r="I143" s="340"/>
      <c r="J143" s="243">
        <f>H143+I143</f>
        <v>0</v>
      </c>
      <c r="K143" s="246">
        <f>G143*H143</f>
        <v>0</v>
      </c>
      <c r="L143" s="247">
        <f>G143*I143</f>
        <v>0</v>
      </c>
      <c r="M143" s="243">
        <f t="shared" si="9"/>
        <v>0</v>
      </c>
      <c r="N143" s="477"/>
      <c r="O143" s="264"/>
    </row>
    <row r="144" spans="1:15" s="318" customFormat="1" ht="33" customHeight="1" x14ac:dyDescent="0.25">
      <c r="A144" s="205">
        <v>17</v>
      </c>
      <c r="B144" s="189" t="s">
        <v>220</v>
      </c>
      <c r="C144" s="224" t="s">
        <v>221</v>
      </c>
      <c r="D144" s="189"/>
      <c r="E144" s="189"/>
      <c r="F144" s="189"/>
      <c r="G144" s="190"/>
      <c r="H144" s="191"/>
      <c r="I144" s="192"/>
      <c r="J144" s="190"/>
      <c r="K144" s="191">
        <f>SUM(K145)</f>
        <v>0</v>
      </c>
      <c r="L144" s="192">
        <f>SUM(L145)</f>
        <v>0</v>
      </c>
      <c r="M144" s="190">
        <f t="shared" si="9"/>
        <v>0</v>
      </c>
      <c r="N144" s="262"/>
      <c r="O144" s="317"/>
    </row>
    <row r="145" spans="1:248" s="319" customFormat="1" ht="37.5" customHeight="1" outlineLevel="1" x14ac:dyDescent="0.25">
      <c r="A145" s="160" t="s">
        <v>215</v>
      </c>
      <c r="B145" s="161"/>
      <c r="C145" s="260" t="s">
        <v>222</v>
      </c>
      <c r="D145" s="161"/>
      <c r="E145" s="161" t="s">
        <v>217</v>
      </c>
      <c r="F145" s="196"/>
      <c r="G145" s="163">
        <v>1</v>
      </c>
      <c r="H145" s="200"/>
      <c r="I145" s="162"/>
      <c r="J145" s="163">
        <f>H145+I145</f>
        <v>0</v>
      </c>
      <c r="K145" s="164">
        <f>G145*H145</f>
        <v>0</v>
      </c>
      <c r="L145" s="165">
        <f>G145*I145</f>
        <v>0</v>
      </c>
      <c r="M145" s="163">
        <f t="shared" si="9"/>
        <v>0</v>
      </c>
      <c r="N145" s="261" t="s">
        <v>305</v>
      </c>
      <c r="O145" s="264"/>
      <c r="P145" s="379"/>
      <c r="Q145" s="379"/>
    </row>
    <row r="146" spans="1:248" s="318" customFormat="1" ht="30" customHeight="1" x14ac:dyDescent="0.25">
      <c r="A146" s="205">
        <v>18</v>
      </c>
      <c r="B146" s="239" t="s">
        <v>211</v>
      </c>
      <c r="C146" s="224" t="s">
        <v>223</v>
      </c>
      <c r="D146" s="189"/>
      <c r="E146" s="189"/>
      <c r="F146" s="189"/>
      <c r="G146" s="265"/>
      <c r="H146" s="191"/>
      <c r="I146" s="192"/>
      <c r="J146" s="190"/>
      <c r="K146" s="266">
        <f>SUM(K147)</f>
        <v>0</v>
      </c>
      <c r="L146" s="267">
        <f>SUM(L147)</f>
        <v>0</v>
      </c>
      <c r="M146" s="265">
        <f t="shared" si="9"/>
        <v>0</v>
      </c>
      <c r="N146" s="206"/>
      <c r="O146" s="406"/>
    </row>
    <row r="147" spans="1:248" s="319" customFormat="1" ht="59.25" customHeight="1" outlineLevel="1" thickBot="1" x14ac:dyDescent="0.3">
      <c r="A147" s="268" t="s">
        <v>285</v>
      </c>
      <c r="B147" s="161"/>
      <c r="C147" s="260" t="s">
        <v>224</v>
      </c>
      <c r="D147" s="161"/>
      <c r="E147" s="161" t="s">
        <v>217</v>
      </c>
      <c r="F147" s="196"/>
      <c r="G147" s="269">
        <v>8</v>
      </c>
      <c r="H147" s="270"/>
      <c r="I147" s="162"/>
      <c r="J147" s="163">
        <f>H147+I147</f>
        <v>0</v>
      </c>
      <c r="K147" s="164">
        <f>G147*H147</f>
        <v>0</v>
      </c>
      <c r="L147" s="165">
        <f>G147*I147</f>
        <v>0</v>
      </c>
      <c r="M147" s="163">
        <f t="shared" si="9"/>
        <v>0</v>
      </c>
      <c r="N147" s="207" t="s">
        <v>225</v>
      </c>
      <c r="O147" s="407"/>
    </row>
    <row r="148" spans="1:248" s="412" customFormat="1" ht="33" customHeight="1" thickBot="1" x14ac:dyDescent="0.3">
      <c r="A148" s="409"/>
      <c r="B148" s="285"/>
      <c r="C148" s="289" t="s">
        <v>228</v>
      </c>
      <c r="D148" s="291"/>
      <c r="E148" s="291"/>
      <c r="F148" s="291"/>
      <c r="G148" s="292"/>
      <c r="H148" s="293"/>
      <c r="I148" s="294"/>
      <c r="J148" s="295"/>
      <c r="K148" s="286">
        <f>K18+K30</f>
        <v>0</v>
      </c>
      <c r="L148" s="287">
        <f>L18+L30</f>
        <v>0</v>
      </c>
      <c r="M148" s="288">
        <f>L148+K148</f>
        <v>0</v>
      </c>
      <c r="N148" s="410"/>
      <c r="O148" s="411"/>
    </row>
    <row r="149" spans="1:248" s="103" customFormat="1" ht="18.75" customHeight="1" x14ac:dyDescent="0.25">
      <c r="A149" s="98"/>
      <c r="B149" s="99"/>
      <c r="C149" s="98"/>
      <c r="D149" s="100"/>
      <c r="E149" s="100"/>
      <c r="F149" s="100"/>
      <c r="G149" s="100"/>
      <c r="H149" s="100"/>
      <c r="I149" s="100"/>
      <c r="J149" s="100"/>
      <c r="K149" s="101"/>
      <c r="L149" s="101"/>
      <c r="M149" s="101"/>
      <c r="N149" s="100"/>
      <c r="O149" s="102"/>
    </row>
    <row r="150" spans="1:248" s="111" customFormat="1" ht="17.25" customHeight="1" x14ac:dyDescent="0.2">
      <c r="A150" s="104"/>
      <c r="B150" s="306" t="s">
        <v>229</v>
      </c>
      <c r="C150" s="105"/>
      <c r="D150" s="105"/>
      <c r="E150" s="105"/>
      <c r="F150" s="105"/>
      <c r="G150" s="105"/>
      <c r="H150" s="105"/>
      <c r="I150" s="105"/>
      <c r="J150" s="105"/>
      <c r="K150" s="427"/>
      <c r="L150" s="427"/>
      <c r="M150" s="105"/>
      <c r="N150" s="105"/>
      <c r="O150" s="106"/>
      <c r="P150" s="107"/>
      <c r="Q150" s="107"/>
      <c r="R150" s="107"/>
      <c r="S150" s="107"/>
      <c r="T150" s="107"/>
      <c r="U150" s="107"/>
      <c r="V150" s="107"/>
      <c r="W150" s="107"/>
      <c r="X150" s="107"/>
      <c r="Y150" s="107"/>
      <c r="Z150" s="107"/>
      <c r="AA150" s="107"/>
      <c r="AB150" s="107"/>
      <c r="AC150" s="107"/>
      <c r="AD150" s="107"/>
      <c r="AE150" s="107"/>
      <c r="AF150" s="107"/>
      <c r="AG150" s="107"/>
      <c r="AH150" s="107"/>
      <c r="AI150" s="107"/>
      <c r="AJ150" s="107"/>
      <c r="AK150" s="107"/>
      <c r="AL150" s="107"/>
      <c r="AM150" s="107"/>
      <c r="AN150" s="107"/>
      <c r="AO150" s="107"/>
      <c r="AP150" s="107"/>
      <c r="AQ150" s="107"/>
      <c r="AR150" s="107"/>
      <c r="AS150" s="107"/>
      <c r="AT150" s="107"/>
      <c r="AU150" s="107"/>
      <c r="AV150" s="107"/>
      <c r="AW150" s="107"/>
      <c r="AX150" s="107"/>
      <c r="AY150" s="107"/>
      <c r="AZ150" s="107"/>
      <c r="BA150" s="107"/>
      <c r="BB150" s="107"/>
      <c r="BC150" s="107"/>
      <c r="BD150" s="108"/>
      <c r="BE150" s="108"/>
      <c r="BF150" s="108"/>
      <c r="BG150" s="108"/>
      <c r="BH150" s="108"/>
      <c r="BI150" s="108"/>
      <c r="BJ150" s="108"/>
      <c r="BK150" s="108"/>
      <c r="BL150" s="109"/>
      <c r="BM150" s="110"/>
      <c r="BN150" s="110"/>
      <c r="BO150" s="110"/>
      <c r="BP150" s="110"/>
      <c r="BQ150" s="110"/>
      <c r="BR150" s="110"/>
      <c r="BS150" s="110"/>
      <c r="BT150" s="110"/>
      <c r="BU150" s="110"/>
      <c r="BV150" s="110"/>
      <c r="BW150" s="110"/>
      <c r="BX150" s="110"/>
      <c r="BY150" s="110"/>
      <c r="BZ150" s="110"/>
      <c r="CA150" s="110"/>
      <c r="CB150" s="110"/>
      <c r="CC150" s="110"/>
      <c r="CD150" s="110"/>
      <c r="CE150" s="110"/>
      <c r="CF150" s="110"/>
      <c r="CG150" s="110"/>
      <c r="CH150" s="110"/>
      <c r="CI150" s="110"/>
      <c r="CJ150" s="110"/>
      <c r="CK150" s="110"/>
      <c r="CL150" s="110"/>
      <c r="CM150" s="110"/>
      <c r="CN150" s="110"/>
      <c r="CO150" s="110"/>
      <c r="CP150" s="110"/>
      <c r="CQ150" s="110"/>
      <c r="CR150" s="110"/>
      <c r="CS150" s="110"/>
      <c r="CT150" s="110"/>
      <c r="CU150" s="110"/>
      <c r="CV150" s="110"/>
      <c r="CW150" s="110"/>
      <c r="CX150" s="110"/>
      <c r="CY150" s="110"/>
      <c r="CZ150" s="110"/>
      <c r="DA150" s="110"/>
      <c r="DB150" s="110"/>
      <c r="DC150" s="110"/>
      <c r="DD150" s="110"/>
      <c r="DE150" s="110"/>
      <c r="DF150" s="110"/>
      <c r="DG150" s="110"/>
      <c r="DH150" s="110"/>
      <c r="DI150" s="110"/>
      <c r="DJ150" s="110"/>
      <c r="DK150" s="110"/>
      <c r="DL150" s="110"/>
      <c r="DM150" s="110"/>
      <c r="DN150" s="110"/>
      <c r="DO150" s="110"/>
      <c r="DP150" s="110"/>
      <c r="DQ150" s="110"/>
      <c r="DR150" s="110"/>
      <c r="DS150" s="110"/>
      <c r="DT150" s="110"/>
      <c r="DU150" s="110"/>
      <c r="DV150" s="110"/>
      <c r="DW150" s="110"/>
      <c r="DX150" s="110"/>
      <c r="DY150" s="110"/>
      <c r="DZ150" s="110"/>
      <c r="EA150" s="110"/>
      <c r="EB150" s="110"/>
      <c r="EC150" s="110"/>
      <c r="ED150" s="110"/>
      <c r="EE150" s="110"/>
      <c r="EF150" s="110"/>
      <c r="EG150" s="110"/>
      <c r="EH150" s="110"/>
      <c r="EI150" s="110"/>
      <c r="EJ150" s="110"/>
      <c r="EK150" s="110"/>
      <c r="EL150" s="110"/>
      <c r="EM150" s="110"/>
      <c r="EN150" s="110"/>
      <c r="EO150" s="110"/>
      <c r="EP150" s="110"/>
      <c r="EQ150" s="110"/>
      <c r="ER150" s="110"/>
      <c r="ES150" s="110"/>
      <c r="ET150" s="110"/>
      <c r="EU150" s="110"/>
      <c r="EV150" s="110"/>
      <c r="EW150" s="110"/>
      <c r="EX150" s="110"/>
      <c r="EY150" s="110"/>
      <c r="EZ150" s="110"/>
      <c r="FA150" s="110"/>
      <c r="FB150" s="110"/>
      <c r="FC150" s="110"/>
      <c r="FD150" s="110"/>
      <c r="FE150" s="110"/>
      <c r="FF150" s="110"/>
      <c r="FG150" s="110"/>
      <c r="FH150" s="110"/>
      <c r="FI150" s="110"/>
      <c r="FJ150" s="110"/>
      <c r="FK150" s="110"/>
      <c r="FL150" s="110"/>
      <c r="FM150" s="110"/>
      <c r="FN150" s="110"/>
      <c r="FO150" s="110"/>
      <c r="FP150" s="110"/>
      <c r="FQ150" s="110"/>
      <c r="FR150" s="110"/>
      <c r="FS150" s="110"/>
      <c r="FT150" s="110"/>
      <c r="FU150" s="110"/>
      <c r="FV150" s="110"/>
      <c r="FW150" s="110"/>
      <c r="FX150" s="110"/>
      <c r="FY150" s="110"/>
      <c r="FZ150" s="110"/>
      <c r="GA150" s="110"/>
      <c r="GB150" s="110"/>
      <c r="GC150" s="110"/>
      <c r="GD150" s="110"/>
      <c r="GE150" s="110"/>
      <c r="GF150" s="110"/>
      <c r="GG150" s="110"/>
      <c r="GH150" s="110"/>
      <c r="GI150" s="110"/>
      <c r="GJ150" s="110"/>
      <c r="GK150" s="110"/>
      <c r="GL150" s="110"/>
      <c r="GM150" s="110"/>
      <c r="GN150" s="110"/>
      <c r="GO150" s="110"/>
      <c r="GP150" s="110"/>
      <c r="GQ150" s="110"/>
      <c r="GR150" s="110"/>
      <c r="GS150" s="110"/>
      <c r="GT150" s="110"/>
      <c r="GU150" s="110"/>
      <c r="GV150" s="110"/>
      <c r="GW150" s="110"/>
      <c r="GX150" s="110"/>
      <c r="GY150" s="110"/>
      <c r="GZ150" s="110"/>
      <c r="HA150" s="110"/>
      <c r="HB150" s="110"/>
      <c r="HC150" s="110"/>
      <c r="HD150" s="110"/>
      <c r="HE150" s="110"/>
      <c r="HF150" s="110"/>
      <c r="HG150" s="110"/>
      <c r="HH150" s="110"/>
      <c r="HI150" s="110"/>
      <c r="HJ150" s="110"/>
      <c r="HK150" s="110"/>
      <c r="HL150" s="110"/>
      <c r="HM150" s="110"/>
      <c r="HN150" s="110"/>
      <c r="HO150" s="110"/>
      <c r="HP150" s="110"/>
      <c r="HQ150" s="110"/>
      <c r="HR150" s="110"/>
      <c r="HS150" s="110"/>
      <c r="HT150" s="110"/>
      <c r="HU150" s="110"/>
      <c r="HV150" s="110"/>
      <c r="HW150" s="110"/>
      <c r="HX150" s="110"/>
      <c r="HY150" s="110"/>
      <c r="HZ150" s="110"/>
      <c r="IA150" s="110"/>
      <c r="IB150" s="110"/>
      <c r="IC150" s="110"/>
      <c r="ID150" s="110"/>
      <c r="IE150" s="110"/>
      <c r="IF150" s="110"/>
      <c r="IG150" s="110"/>
      <c r="IH150" s="110"/>
      <c r="II150" s="110"/>
      <c r="IJ150" s="110"/>
      <c r="IK150" s="110"/>
      <c r="IL150" s="110"/>
      <c r="IM150" s="110"/>
      <c r="IN150" s="110"/>
    </row>
    <row r="151" spans="1:248" s="111" customFormat="1" ht="17.25" customHeight="1" x14ac:dyDescent="0.2">
      <c r="A151" s="104"/>
      <c r="B151" s="306"/>
      <c r="C151" s="105"/>
      <c r="D151" s="105"/>
      <c r="E151" s="105"/>
      <c r="F151" s="105"/>
      <c r="G151" s="105"/>
      <c r="H151" s="105"/>
      <c r="I151" s="105"/>
      <c r="J151" s="105"/>
      <c r="K151" s="105"/>
      <c r="L151" s="105"/>
      <c r="M151" s="105"/>
      <c r="N151" s="105"/>
      <c r="O151" s="106"/>
      <c r="P151" s="107"/>
      <c r="Q151" s="107"/>
      <c r="R151" s="107"/>
      <c r="S151" s="107"/>
      <c r="T151" s="107"/>
      <c r="U151" s="107"/>
      <c r="V151" s="107"/>
      <c r="W151" s="107"/>
      <c r="X151" s="107"/>
      <c r="Y151" s="107"/>
      <c r="Z151" s="107"/>
      <c r="AA151" s="107"/>
      <c r="AB151" s="107"/>
      <c r="AC151" s="107"/>
      <c r="AD151" s="107"/>
      <c r="AE151" s="107"/>
      <c r="AF151" s="107"/>
      <c r="AG151" s="107"/>
      <c r="AH151" s="107"/>
      <c r="AI151" s="107"/>
      <c r="AJ151" s="107"/>
      <c r="AK151" s="107"/>
      <c r="AL151" s="107"/>
      <c r="AM151" s="107"/>
      <c r="AN151" s="107"/>
      <c r="AO151" s="107"/>
      <c r="AP151" s="107"/>
      <c r="AQ151" s="107"/>
      <c r="AR151" s="107"/>
      <c r="AS151" s="107"/>
      <c r="AT151" s="107"/>
      <c r="AU151" s="107"/>
      <c r="AV151" s="107"/>
      <c r="AW151" s="107"/>
      <c r="AX151" s="107"/>
      <c r="AY151" s="107"/>
      <c r="AZ151" s="107"/>
      <c r="BA151" s="107"/>
      <c r="BB151" s="107"/>
      <c r="BC151" s="107"/>
      <c r="BD151" s="108"/>
      <c r="BE151" s="108"/>
      <c r="BF151" s="108"/>
      <c r="BG151" s="108"/>
      <c r="BH151" s="108"/>
      <c r="BI151" s="108"/>
      <c r="BJ151" s="108"/>
      <c r="BK151" s="108"/>
      <c r="BL151" s="109"/>
      <c r="BM151" s="110"/>
      <c r="BN151" s="110"/>
      <c r="BO151" s="110"/>
      <c r="BP151" s="110"/>
      <c r="BQ151" s="110"/>
      <c r="BR151" s="110"/>
      <c r="BS151" s="110"/>
      <c r="BT151" s="110"/>
      <c r="BU151" s="110"/>
      <c r="BV151" s="110"/>
      <c r="BW151" s="110"/>
      <c r="BX151" s="110"/>
      <c r="BY151" s="110"/>
      <c r="BZ151" s="110"/>
      <c r="CA151" s="110"/>
      <c r="CB151" s="110"/>
      <c r="CC151" s="110"/>
      <c r="CD151" s="110"/>
      <c r="CE151" s="110"/>
      <c r="CF151" s="110"/>
      <c r="CG151" s="110"/>
      <c r="CH151" s="110"/>
      <c r="CI151" s="110"/>
      <c r="CJ151" s="110"/>
      <c r="CK151" s="110"/>
      <c r="CL151" s="110"/>
      <c r="CM151" s="110"/>
      <c r="CN151" s="110"/>
      <c r="CO151" s="110"/>
      <c r="CP151" s="110"/>
      <c r="CQ151" s="110"/>
      <c r="CR151" s="110"/>
      <c r="CS151" s="110"/>
      <c r="CT151" s="110"/>
      <c r="CU151" s="110"/>
      <c r="CV151" s="110"/>
      <c r="CW151" s="110"/>
      <c r="CX151" s="110"/>
      <c r="CY151" s="110"/>
      <c r="CZ151" s="110"/>
      <c r="DA151" s="110"/>
      <c r="DB151" s="110"/>
      <c r="DC151" s="110"/>
      <c r="DD151" s="110"/>
      <c r="DE151" s="110"/>
      <c r="DF151" s="110"/>
      <c r="DG151" s="110"/>
      <c r="DH151" s="110"/>
      <c r="DI151" s="110"/>
      <c r="DJ151" s="110"/>
      <c r="DK151" s="110"/>
      <c r="DL151" s="110"/>
      <c r="DM151" s="110"/>
      <c r="DN151" s="110"/>
      <c r="DO151" s="110"/>
      <c r="DP151" s="110"/>
      <c r="DQ151" s="110"/>
      <c r="DR151" s="110"/>
      <c r="DS151" s="110"/>
      <c r="DT151" s="110"/>
      <c r="DU151" s="110"/>
      <c r="DV151" s="110"/>
      <c r="DW151" s="110"/>
      <c r="DX151" s="110"/>
      <c r="DY151" s="110"/>
      <c r="DZ151" s="110"/>
      <c r="EA151" s="110"/>
      <c r="EB151" s="110"/>
      <c r="EC151" s="110"/>
      <c r="ED151" s="110"/>
      <c r="EE151" s="110"/>
      <c r="EF151" s="110"/>
      <c r="EG151" s="110"/>
      <c r="EH151" s="110"/>
      <c r="EI151" s="110"/>
      <c r="EJ151" s="110"/>
      <c r="EK151" s="110"/>
      <c r="EL151" s="110"/>
      <c r="EM151" s="110"/>
      <c r="EN151" s="110"/>
      <c r="EO151" s="110"/>
      <c r="EP151" s="110"/>
      <c r="EQ151" s="110"/>
      <c r="ER151" s="110"/>
      <c r="ES151" s="110"/>
      <c r="ET151" s="110"/>
      <c r="EU151" s="110"/>
      <c r="EV151" s="110"/>
      <c r="EW151" s="110"/>
      <c r="EX151" s="110"/>
      <c r="EY151" s="110"/>
      <c r="EZ151" s="110"/>
      <c r="FA151" s="110"/>
      <c r="FB151" s="110"/>
      <c r="FC151" s="110"/>
      <c r="FD151" s="110"/>
      <c r="FE151" s="110"/>
      <c r="FF151" s="110"/>
      <c r="FG151" s="110"/>
      <c r="FH151" s="110"/>
      <c r="FI151" s="110"/>
      <c r="FJ151" s="110"/>
      <c r="FK151" s="110"/>
      <c r="FL151" s="110"/>
      <c r="FM151" s="110"/>
      <c r="FN151" s="110"/>
      <c r="FO151" s="110"/>
      <c r="FP151" s="110"/>
      <c r="FQ151" s="110"/>
      <c r="FR151" s="110"/>
      <c r="FS151" s="110"/>
      <c r="FT151" s="110"/>
      <c r="FU151" s="110"/>
      <c r="FV151" s="110"/>
      <c r="FW151" s="110"/>
      <c r="FX151" s="110"/>
      <c r="FY151" s="110"/>
      <c r="FZ151" s="110"/>
      <c r="GA151" s="110"/>
      <c r="GB151" s="110"/>
      <c r="GC151" s="110"/>
      <c r="GD151" s="110"/>
      <c r="GE151" s="110"/>
      <c r="GF151" s="110"/>
      <c r="GG151" s="110"/>
      <c r="GH151" s="110"/>
      <c r="GI151" s="110"/>
      <c r="GJ151" s="110"/>
      <c r="GK151" s="110"/>
      <c r="GL151" s="110"/>
      <c r="GM151" s="110"/>
      <c r="GN151" s="110"/>
      <c r="GO151" s="110"/>
      <c r="GP151" s="110"/>
      <c r="GQ151" s="110"/>
      <c r="GR151" s="110"/>
      <c r="GS151" s="110"/>
      <c r="GT151" s="110"/>
      <c r="GU151" s="110"/>
      <c r="GV151" s="110"/>
      <c r="GW151" s="110"/>
      <c r="GX151" s="110"/>
      <c r="GY151" s="110"/>
      <c r="GZ151" s="110"/>
      <c r="HA151" s="110"/>
      <c r="HB151" s="110"/>
      <c r="HC151" s="110"/>
      <c r="HD151" s="110"/>
      <c r="HE151" s="110"/>
      <c r="HF151" s="110"/>
      <c r="HG151" s="110"/>
      <c r="HH151" s="110"/>
      <c r="HI151" s="110"/>
      <c r="HJ151" s="110"/>
      <c r="HK151" s="110"/>
      <c r="HL151" s="110"/>
      <c r="HM151" s="110"/>
      <c r="HN151" s="110"/>
      <c r="HO151" s="110"/>
      <c r="HP151" s="110"/>
      <c r="HQ151" s="110"/>
      <c r="HR151" s="110"/>
      <c r="HS151" s="110"/>
      <c r="HT151" s="110"/>
      <c r="HU151" s="110"/>
      <c r="HV151" s="110"/>
      <c r="HW151" s="110"/>
      <c r="HX151" s="110"/>
      <c r="HY151" s="110"/>
      <c r="HZ151" s="110"/>
      <c r="IA151" s="110"/>
      <c r="IB151" s="110"/>
      <c r="IC151" s="110"/>
      <c r="ID151" s="110"/>
      <c r="IE151" s="110"/>
      <c r="IF151" s="110"/>
      <c r="IG151" s="110"/>
      <c r="IH151" s="110"/>
      <c r="II151" s="110"/>
      <c r="IJ151" s="110"/>
      <c r="IK151" s="110"/>
      <c r="IL151" s="110"/>
      <c r="IM151" s="110"/>
      <c r="IN151" s="110"/>
    </row>
    <row r="152" spans="1:248" s="111" customFormat="1" ht="17.25" customHeight="1" x14ac:dyDescent="0.2">
      <c r="A152" s="104"/>
      <c r="B152" s="306" t="s">
        <v>230</v>
      </c>
      <c r="C152" s="105"/>
      <c r="D152" s="105"/>
      <c r="E152" s="105"/>
      <c r="F152" s="105"/>
      <c r="G152" s="105"/>
      <c r="H152" s="105"/>
      <c r="I152" s="105"/>
      <c r="J152" s="105"/>
      <c r="K152" s="105"/>
      <c r="L152" s="105"/>
      <c r="M152" s="105"/>
      <c r="N152" s="105"/>
      <c r="O152" s="106"/>
      <c r="P152" s="107"/>
      <c r="Q152" s="107"/>
      <c r="R152" s="107"/>
      <c r="S152" s="107"/>
      <c r="T152" s="107"/>
      <c r="U152" s="107"/>
      <c r="V152" s="107"/>
      <c r="W152" s="107"/>
      <c r="X152" s="107"/>
      <c r="Y152" s="107"/>
      <c r="Z152" s="107"/>
      <c r="AA152" s="107"/>
      <c r="AB152" s="107"/>
      <c r="AC152" s="107"/>
      <c r="AD152" s="107"/>
      <c r="AE152" s="107"/>
      <c r="AF152" s="107"/>
      <c r="AG152" s="107"/>
      <c r="AH152" s="107"/>
      <c r="AI152" s="107"/>
      <c r="AJ152" s="107"/>
      <c r="AK152" s="107"/>
      <c r="AL152" s="107"/>
      <c r="AM152" s="107"/>
      <c r="AN152" s="107"/>
      <c r="AO152" s="107"/>
      <c r="AP152" s="107"/>
      <c r="AQ152" s="107"/>
      <c r="AR152" s="107"/>
      <c r="AS152" s="107"/>
      <c r="AT152" s="107"/>
      <c r="AU152" s="107"/>
      <c r="AV152" s="107"/>
      <c r="AW152" s="107"/>
      <c r="AX152" s="107"/>
      <c r="AY152" s="107"/>
      <c r="AZ152" s="107"/>
      <c r="BA152" s="107"/>
      <c r="BB152" s="107"/>
      <c r="BC152" s="107"/>
      <c r="BD152" s="108"/>
      <c r="BE152" s="108"/>
      <c r="BF152" s="108"/>
      <c r="BG152" s="108"/>
      <c r="BH152" s="108"/>
      <c r="BI152" s="108"/>
      <c r="BJ152" s="108"/>
      <c r="BK152" s="108"/>
      <c r="BL152" s="109"/>
      <c r="BM152" s="110"/>
      <c r="BN152" s="110"/>
      <c r="BO152" s="110"/>
      <c r="BP152" s="110"/>
      <c r="BQ152" s="110"/>
      <c r="BR152" s="110"/>
      <c r="BS152" s="110"/>
      <c r="BT152" s="110"/>
      <c r="BU152" s="110"/>
      <c r="BV152" s="110"/>
      <c r="BW152" s="110"/>
      <c r="BX152" s="110"/>
      <c r="BY152" s="110"/>
      <c r="BZ152" s="110"/>
      <c r="CA152" s="110"/>
      <c r="CB152" s="110"/>
      <c r="CC152" s="110"/>
      <c r="CD152" s="110"/>
      <c r="CE152" s="110"/>
      <c r="CF152" s="110"/>
      <c r="CG152" s="110"/>
      <c r="CH152" s="110"/>
      <c r="CI152" s="110"/>
      <c r="CJ152" s="110"/>
      <c r="CK152" s="110"/>
      <c r="CL152" s="110"/>
      <c r="CM152" s="110"/>
      <c r="CN152" s="110"/>
      <c r="CO152" s="110"/>
      <c r="CP152" s="110"/>
      <c r="CQ152" s="110"/>
      <c r="CR152" s="110"/>
      <c r="CS152" s="110"/>
      <c r="CT152" s="110"/>
      <c r="CU152" s="110"/>
      <c r="CV152" s="110"/>
      <c r="CW152" s="110"/>
      <c r="CX152" s="110"/>
      <c r="CY152" s="110"/>
      <c r="CZ152" s="110"/>
      <c r="DA152" s="110"/>
      <c r="DB152" s="110"/>
      <c r="DC152" s="110"/>
      <c r="DD152" s="110"/>
      <c r="DE152" s="110"/>
      <c r="DF152" s="110"/>
      <c r="DG152" s="110"/>
      <c r="DH152" s="110"/>
      <c r="DI152" s="110"/>
      <c r="DJ152" s="110"/>
      <c r="DK152" s="110"/>
      <c r="DL152" s="110"/>
      <c r="DM152" s="110"/>
      <c r="DN152" s="110"/>
      <c r="DO152" s="110"/>
      <c r="DP152" s="110"/>
      <c r="DQ152" s="110"/>
      <c r="DR152" s="110"/>
      <c r="DS152" s="110"/>
      <c r="DT152" s="110"/>
      <c r="DU152" s="110"/>
      <c r="DV152" s="110"/>
      <c r="DW152" s="110"/>
      <c r="DX152" s="110"/>
      <c r="DY152" s="110"/>
      <c r="DZ152" s="110"/>
      <c r="EA152" s="110"/>
      <c r="EB152" s="110"/>
      <c r="EC152" s="110"/>
      <c r="ED152" s="110"/>
      <c r="EE152" s="110"/>
      <c r="EF152" s="110"/>
      <c r="EG152" s="110"/>
      <c r="EH152" s="110"/>
      <c r="EI152" s="110"/>
      <c r="EJ152" s="110"/>
      <c r="EK152" s="110"/>
      <c r="EL152" s="110"/>
      <c r="EM152" s="110"/>
      <c r="EN152" s="110"/>
      <c r="EO152" s="110"/>
      <c r="EP152" s="110"/>
      <c r="EQ152" s="110"/>
      <c r="ER152" s="110"/>
      <c r="ES152" s="110"/>
      <c r="ET152" s="110"/>
      <c r="EU152" s="110"/>
      <c r="EV152" s="110"/>
      <c r="EW152" s="110"/>
      <c r="EX152" s="110"/>
      <c r="EY152" s="110"/>
      <c r="EZ152" s="110"/>
      <c r="FA152" s="110"/>
      <c r="FB152" s="110"/>
      <c r="FC152" s="110"/>
      <c r="FD152" s="110"/>
      <c r="FE152" s="110"/>
      <c r="FF152" s="110"/>
      <c r="FG152" s="110"/>
      <c r="FH152" s="110"/>
      <c r="FI152" s="110"/>
      <c r="FJ152" s="110"/>
      <c r="FK152" s="110"/>
      <c r="FL152" s="110"/>
      <c r="FM152" s="110"/>
      <c r="FN152" s="110"/>
      <c r="FO152" s="110"/>
      <c r="FP152" s="110"/>
      <c r="FQ152" s="110"/>
      <c r="FR152" s="110"/>
      <c r="FS152" s="110"/>
      <c r="FT152" s="110"/>
      <c r="FU152" s="110"/>
      <c r="FV152" s="110"/>
      <c r="FW152" s="110"/>
      <c r="FX152" s="110"/>
      <c r="FY152" s="110"/>
      <c r="FZ152" s="110"/>
      <c r="GA152" s="110"/>
      <c r="GB152" s="110"/>
      <c r="GC152" s="110"/>
      <c r="GD152" s="110"/>
      <c r="GE152" s="110"/>
      <c r="GF152" s="110"/>
      <c r="GG152" s="110"/>
      <c r="GH152" s="110"/>
      <c r="GI152" s="110"/>
      <c r="GJ152" s="110"/>
      <c r="GK152" s="110"/>
      <c r="GL152" s="110"/>
      <c r="GM152" s="110"/>
      <c r="GN152" s="110"/>
      <c r="GO152" s="110"/>
      <c r="GP152" s="110"/>
      <c r="GQ152" s="110"/>
      <c r="GR152" s="110"/>
      <c r="GS152" s="110"/>
      <c r="GT152" s="110"/>
      <c r="GU152" s="110"/>
      <c r="GV152" s="110"/>
      <c r="GW152" s="110"/>
      <c r="GX152" s="110"/>
      <c r="GY152" s="110"/>
      <c r="GZ152" s="110"/>
      <c r="HA152" s="110"/>
      <c r="HB152" s="110"/>
      <c r="HC152" s="110"/>
      <c r="HD152" s="110"/>
      <c r="HE152" s="110"/>
      <c r="HF152" s="110"/>
      <c r="HG152" s="110"/>
      <c r="HH152" s="110"/>
      <c r="HI152" s="110"/>
      <c r="HJ152" s="110"/>
      <c r="HK152" s="110"/>
      <c r="HL152" s="110"/>
      <c r="HM152" s="110"/>
      <c r="HN152" s="110"/>
      <c r="HO152" s="110"/>
      <c r="HP152" s="110"/>
      <c r="HQ152" s="110"/>
      <c r="HR152" s="110"/>
      <c r="HS152" s="110"/>
      <c r="HT152" s="110"/>
      <c r="HU152" s="110"/>
      <c r="HV152" s="110"/>
      <c r="HW152" s="110"/>
      <c r="HX152" s="110"/>
      <c r="HY152" s="110"/>
      <c r="HZ152" s="110"/>
      <c r="IA152" s="110"/>
      <c r="IB152" s="110"/>
      <c r="IC152" s="110"/>
      <c r="ID152" s="110"/>
      <c r="IE152" s="110"/>
      <c r="IF152" s="110"/>
      <c r="IG152" s="110"/>
      <c r="IH152" s="110"/>
      <c r="II152" s="110"/>
      <c r="IJ152" s="110"/>
      <c r="IK152" s="110"/>
      <c r="IL152" s="110"/>
      <c r="IM152" s="110"/>
      <c r="IN152" s="110"/>
    </row>
    <row r="153" spans="1:248" s="117" customFormat="1" ht="14.25" customHeight="1" x14ac:dyDescent="0.2">
      <c r="A153" s="98"/>
      <c r="B153" s="112"/>
      <c r="C153" s="112"/>
      <c r="D153" s="113"/>
      <c r="E153" s="113"/>
      <c r="F153" s="113"/>
      <c r="G153" s="113"/>
      <c r="H153" s="113"/>
      <c r="I153" s="113"/>
      <c r="J153" s="113"/>
      <c r="K153" s="114"/>
      <c r="L153" s="114"/>
      <c r="M153" s="114"/>
      <c r="N153" s="113"/>
      <c r="O153" s="115"/>
      <c r="P153" s="116"/>
      <c r="Q153" s="116"/>
      <c r="R153" s="116"/>
      <c r="S153" s="116"/>
      <c r="T153" s="116"/>
      <c r="U153" s="116"/>
      <c r="V153" s="116"/>
      <c r="W153" s="116"/>
      <c r="X153" s="116"/>
      <c r="Y153" s="116"/>
      <c r="Z153" s="116"/>
      <c r="AA153" s="116"/>
      <c r="AB153" s="116"/>
      <c r="AC153" s="116"/>
      <c r="AD153" s="116"/>
      <c r="AE153" s="116"/>
      <c r="AF153" s="116"/>
      <c r="AG153" s="116"/>
    </row>
    <row r="154" spans="1:248" s="389" customFormat="1" ht="16.5" x14ac:dyDescent="0.25">
      <c r="B154" s="296" t="s">
        <v>231</v>
      </c>
      <c r="C154" s="390"/>
      <c r="D154" s="391"/>
      <c r="E154" s="391"/>
      <c r="F154" s="392"/>
      <c r="G154" s="393"/>
      <c r="H154" s="394"/>
      <c r="I154" s="395"/>
      <c r="J154" s="390"/>
      <c r="K154" s="390"/>
      <c r="L154" s="396"/>
      <c r="M154" s="390"/>
      <c r="N154" s="390"/>
      <c r="O154" s="386"/>
      <c r="P154" s="387"/>
      <c r="Q154" s="387"/>
      <c r="R154" s="387"/>
      <c r="S154" s="387"/>
      <c r="T154" s="387"/>
      <c r="U154" s="387"/>
      <c r="V154" s="387"/>
      <c r="W154" s="387"/>
      <c r="X154" s="387"/>
      <c r="Y154" s="387"/>
      <c r="Z154" s="387"/>
      <c r="AA154" s="387"/>
      <c r="AB154" s="387"/>
      <c r="AC154" s="387"/>
      <c r="AD154" s="387"/>
      <c r="AE154" s="387"/>
      <c r="AF154" s="387"/>
      <c r="AG154" s="387"/>
    </row>
    <row r="155" spans="1:248" s="389" customFormat="1" ht="12" customHeight="1" x14ac:dyDescent="0.25">
      <c r="B155" s="390"/>
      <c r="C155" s="391"/>
      <c r="D155" s="391"/>
      <c r="E155" s="391"/>
      <c r="F155" s="392"/>
      <c r="G155" s="393"/>
      <c r="H155" s="394"/>
      <c r="I155" s="395"/>
      <c r="J155" s="390"/>
      <c r="K155" s="390"/>
      <c r="L155" s="396"/>
      <c r="M155" s="390"/>
      <c r="N155" s="390"/>
      <c r="O155" s="386"/>
      <c r="P155" s="387"/>
      <c r="Q155" s="387"/>
      <c r="R155" s="387"/>
      <c r="S155" s="387"/>
      <c r="T155" s="387"/>
      <c r="U155" s="387"/>
      <c r="V155" s="387"/>
      <c r="W155" s="387"/>
      <c r="X155" s="387"/>
      <c r="Y155" s="387"/>
      <c r="Z155" s="387"/>
      <c r="AA155" s="387"/>
      <c r="AB155" s="387"/>
      <c r="AC155" s="387"/>
      <c r="AD155" s="387"/>
      <c r="AE155" s="387"/>
      <c r="AF155" s="387"/>
      <c r="AG155" s="387"/>
    </row>
    <row r="156" spans="1:248" s="388" customFormat="1" ht="47.25" customHeight="1" x14ac:dyDescent="0.3">
      <c r="A156" s="301">
        <v>1</v>
      </c>
      <c r="B156" s="478" t="s">
        <v>263</v>
      </c>
      <c r="C156" s="478"/>
      <c r="D156" s="478"/>
      <c r="E156" s="478"/>
      <c r="F156" s="478"/>
      <c r="G156" s="478"/>
      <c r="H156" s="478"/>
      <c r="I156" s="478"/>
      <c r="J156" s="478"/>
      <c r="K156" s="478"/>
      <c r="L156" s="478"/>
      <c r="M156" s="478"/>
      <c r="N156" s="478"/>
      <c r="O156" s="386"/>
      <c r="P156" s="387"/>
      <c r="Q156" s="387"/>
      <c r="R156" s="387"/>
      <c r="S156" s="387"/>
      <c r="T156" s="387"/>
      <c r="U156" s="387"/>
      <c r="V156" s="387"/>
      <c r="W156" s="387"/>
      <c r="X156" s="387"/>
      <c r="Y156" s="387"/>
      <c r="Z156" s="387"/>
      <c r="AA156" s="387"/>
      <c r="AB156" s="387"/>
      <c r="AC156" s="387"/>
      <c r="AD156" s="387"/>
      <c r="AE156" s="387"/>
      <c r="AF156" s="387"/>
      <c r="AG156" s="387"/>
    </row>
    <row r="157" spans="1:248" s="148" customFormat="1" ht="29.45" customHeight="1" x14ac:dyDescent="0.25">
      <c r="A157" s="307">
        <v>2</v>
      </c>
      <c r="B157" s="479" t="s">
        <v>353</v>
      </c>
      <c r="C157" s="479"/>
      <c r="D157" s="479"/>
      <c r="E157" s="479"/>
      <c r="F157" s="479"/>
      <c r="G157" s="479"/>
      <c r="H157" s="479"/>
      <c r="I157" s="479"/>
      <c r="J157" s="479"/>
      <c r="K157" s="479"/>
      <c r="L157" s="479"/>
      <c r="M157" s="479"/>
      <c r="N157" s="479"/>
      <c r="O157" s="149"/>
    </row>
    <row r="158" spans="1:248" s="390" customFormat="1" ht="45" customHeight="1" x14ac:dyDescent="0.25">
      <c r="A158" s="301">
        <v>3</v>
      </c>
      <c r="B158" s="478" t="s">
        <v>232</v>
      </c>
      <c r="C158" s="478"/>
      <c r="D158" s="478"/>
      <c r="E158" s="478"/>
      <c r="F158" s="478"/>
      <c r="G158" s="478"/>
      <c r="H158" s="478"/>
      <c r="I158" s="478"/>
      <c r="J158" s="478"/>
      <c r="K158" s="478"/>
      <c r="L158" s="478"/>
      <c r="M158" s="478"/>
      <c r="N158" s="478"/>
      <c r="O158" s="386"/>
      <c r="P158" s="387"/>
      <c r="Q158" s="387"/>
      <c r="R158" s="387"/>
      <c r="S158" s="387"/>
      <c r="T158" s="387"/>
      <c r="U158" s="387"/>
      <c r="V158" s="387"/>
      <c r="W158" s="387"/>
      <c r="X158" s="387"/>
      <c r="Y158" s="387"/>
      <c r="Z158" s="387"/>
      <c r="AA158" s="387"/>
      <c r="AB158" s="387"/>
      <c r="AC158" s="387"/>
      <c r="AD158" s="387"/>
      <c r="AE158" s="387"/>
      <c r="AF158" s="387"/>
      <c r="AG158" s="387"/>
    </row>
    <row r="159" spans="1:248" s="390" customFormat="1" ht="268.5" customHeight="1" x14ac:dyDescent="0.3">
      <c r="A159" s="298">
        <v>4</v>
      </c>
      <c r="B159" s="471" t="s">
        <v>290</v>
      </c>
      <c r="C159" s="471"/>
      <c r="D159" s="471"/>
      <c r="E159" s="471"/>
      <c r="F159" s="471"/>
      <c r="G159" s="471"/>
      <c r="H159" s="471"/>
      <c r="I159" s="471"/>
      <c r="J159" s="471"/>
      <c r="K159" s="471"/>
      <c r="L159" s="471"/>
      <c r="M159" s="471"/>
      <c r="N159" s="471"/>
      <c r="O159" s="386"/>
      <c r="P159" s="387"/>
      <c r="Q159" s="387"/>
      <c r="R159" s="387"/>
      <c r="S159" s="387"/>
      <c r="T159" s="387"/>
      <c r="U159" s="387"/>
      <c r="V159" s="387"/>
      <c r="W159" s="387"/>
      <c r="X159" s="387"/>
      <c r="Y159" s="387"/>
      <c r="Z159" s="387"/>
      <c r="AA159" s="387"/>
      <c r="AB159" s="387"/>
      <c r="AC159" s="387"/>
      <c r="AD159" s="387"/>
      <c r="AE159" s="387"/>
      <c r="AF159" s="387"/>
      <c r="AG159" s="387"/>
    </row>
    <row r="160" spans="1:248" s="390" customFormat="1" ht="64.5" customHeight="1" x14ac:dyDescent="0.25">
      <c r="A160" s="301">
        <v>5</v>
      </c>
      <c r="B160" s="463" t="s">
        <v>264</v>
      </c>
      <c r="C160" s="463"/>
      <c r="D160" s="463"/>
      <c r="E160" s="463"/>
      <c r="F160" s="463"/>
      <c r="G160" s="463"/>
      <c r="H160" s="463"/>
      <c r="I160" s="463"/>
      <c r="J160" s="463"/>
      <c r="K160" s="463"/>
      <c r="L160" s="463"/>
      <c r="M160" s="463"/>
      <c r="N160" s="463"/>
      <c r="O160" s="403"/>
    </row>
    <row r="161" spans="1:23" s="398" customFormat="1" ht="45" customHeight="1" x14ac:dyDescent="0.2">
      <c r="A161" s="298">
        <v>6</v>
      </c>
      <c r="B161" s="464" t="s">
        <v>262</v>
      </c>
      <c r="C161" s="464"/>
      <c r="D161" s="464"/>
      <c r="E161" s="464"/>
      <c r="F161" s="464"/>
      <c r="G161" s="464"/>
      <c r="H161" s="464"/>
      <c r="I161" s="464"/>
      <c r="J161" s="464"/>
      <c r="K161" s="464"/>
      <c r="L161" s="464"/>
      <c r="M161" s="464"/>
      <c r="N161" s="464"/>
      <c r="O161" s="465"/>
      <c r="P161" s="465"/>
      <c r="Q161" s="465"/>
      <c r="R161" s="465"/>
      <c r="S161" s="465"/>
      <c r="T161" s="465"/>
      <c r="U161" s="465"/>
      <c r="V161" s="465"/>
      <c r="W161" s="465"/>
    </row>
    <row r="162" spans="1:23" s="390" customFormat="1" ht="24" customHeight="1" x14ac:dyDescent="0.25">
      <c r="A162" s="301">
        <v>7</v>
      </c>
      <c r="B162" s="463" t="s">
        <v>239</v>
      </c>
      <c r="C162" s="463"/>
      <c r="D162" s="463"/>
      <c r="E162" s="463"/>
      <c r="F162" s="463"/>
      <c r="G162" s="463"/>
      <c r="H162" s="463"/>
      <c r="I162" s="463"/>
      <c r="J162" s="463"/>
      <c r="K162" s="463"/>
      <c r="L162" s="463"/>
      <c r="M162" s="463"/>
      <c r="N162" s="463"/>
      <c r="O162" s="403"/>
    </row>
    <row r="163" spans="1:23" s="390" customFormat="1" ht="26.25" customHeight="1" x14ac:dyDescent="0.25">
      <c r="A163" s="301">
        <v>8</v>
      </c>
      <c r="B163" s="466" t="s">
        <v>233</v>
      </c>
      <c r="C163" s="466"/>
      <c r="D163" s="466"/>
      <c r="E163" s="466"/>
      <c r="F163" s="466"/>
      <c r="G163" s="466"/>
      <c r="H163" s="466"/>
      <c r="I163" s="466"/>
      <c r="J163" s="466"/>
      <c r="K163" s="466"/>
      <c r="L163" s="466"/>
      <c r="M163" s="466"/>
      <c r="N163" s="466"/>
      <c r="O163" s="403"/>
    </row>
    <row r="164" spans="1:23" s="118" customFormat="1" ht="369" customHeight="1" x14ac:dyDescent="0.25">
      <c r="A164" s="154"/>
      <c r="B164" s="467" t="s">
        <v>345</v>
      </c>
      <c r="C164" s="467"/>
      <c r="D164" s="467"/>
      <c r="E164" s="467"/>
      <c r="F164" s="467"/>
      <c r="G164" s="467"/>
      <c r="H164" s="467"/>
      <c r="I164" s="467"/>
      <c r="J164" s="467"/>
      <c r="K164" s="467"/>
      <c r="L164" s="467"/>
      <c r="M164" s="467"/>
      <c r="N164" s="467"/>
      <c r="O164" s="426" t="s">
        <v>346</v>
      </c>
    </row>
    <row r="165" spans="1:23" s="405" customFormat="1" ht="81.75" customHeight="1" x14ac:dyDescent="0.25">
      <c r="A165" s="299"/>
      <c r="B165" s="468" t="s">
        <v>265</v>
      </c>
      <c r="C165" s="469"/>
      <c r="D165" s="469"/>
      <c r="E165" s="469"/>
      <c r="F165" s="469"/>
      <c r="G165" s="469"/>
      <c r="H165" s="469"/>
      <c r="I165" s="469"/>
      <c r="J165" s="469"/>
      <c r="K165" s="469"/>
      <c r="L165" s="469"/>
      <c r="M165" s="469"/>
      <c r="N165" s="469"/>
      <c r="O165" s="404"/>
    </row>
    <row r="166" spans="1:23" s="405" customFormat="1" ht="37.5" customHeight="1" x14ac:dyDescent="0.25">
      <c r="A166" s="299"/>
      <c r="B166" s="470" t="s">
        <v>234</v>
      </c>
      <c r="C166" s="462"/>
      <c r="D166" s="462"/>
      <c r="E166" s="462"/>
      <c r="F166" s="462"/>
      <c r="G166" s="462"/>
      <c r="H166" s="462"/>
      <c r="I166" s="462"/>
      <c r="J166" s="462"/>
      <c r="K166" s="462"/>
      <c r="L166" s="462"/>
      <c r="M166" s="462"/>
      <c r="N166" s="462"/>
      <c r="O166" s="404"/>
    </row>
    <row r="167" spans="1:23" s="405" customFormat="1" ht="58.5" customHeight="1" x14ac:dyDescent="0.25">
      <c r="A167" s="299">
        <v>9</v>
      </c>
      <c r="B167" s="462" t="s">
        <v>235</v>
      </c>
      <c r="C167" s="462"/>
      <c r="D167" s="462"/>
      <c r="E167" s="462"/>
      <c r="F167" s="462"/>
      <c r="G167" s="462"/>
      <c r="H167" s="462"/>
      <c r="I167" s="462"/>
      <c r="J167" s="462"/>
      <c r="K167" s="462"/>
      <c r="L167" s="462"/>
      <c r="M167" s="462"/>
      <c r="N167" s="462"/>
      <c r="O167" s="404"/>
    </row>
    <row r="168" spans="1:23" s="405" customFormat="1" ht="29.25" customHeight="1" x14ac:dyDescent="0.25">
      <c r="A168" s="299">
        <v>10</v>
      </c>
      <c r="B168" s="462" t="s">
        <v>236</v>
      </c>
      <c r="C168" s="462"/>
      <c r="D168" s="462"/>
      <c r="E168" s="462"/>
      <c r="F168" s="462"/>
      <c r="G168" s="462"/>
      <c r="H168" s="462"/>
      <c r="I168" s="462"/>
      <c r="J168" s="462"/>
      <c r="K168" s="462"/>
      <c r="L168" s="462"/>
      <c r="M168" s="462"/>
      <c r="N168" s="462"/>
      <c r="O168" s="404"/>
    </row>
    <row r="169" spans="1:23" s="405" customFormat="1" ht="29.25" customHeight="1" x14ac:dyDescent="0.25">
      <c r="A169" s="299">
        <v>11</v>
      </c>
      <c r="B169" s="462" t="s">
        <v>237</v>
      </c>
      <c r="C169" s="462"/>
      <c r="D169" s="462"/>
      <c r="E169" s="462"/>
      <c r="F169" s="462"/>
      <c r="G169" s="462"/>
      <c r="H169" s="462"/>
      <c r="I169" s="462"/>
      <c r="J169" s="462"/>
      <c r="K169" s="462"/>
      <c r="L169" s="462"/>
      <c r="M169" s="462"/>
      <c r="N169" s="462"/>
      <c r="O169" s="404"/>
    </row>
    <row r="170" spans="1:23" s="405" customFormat="1" ht="44.25" customHeight="1" x14ac:dyDescent="0.25">
      <c r="A170" s="297">
        <v>12</v>
      </c>
      <c r="B170" s="462" t="s">
        <v>238</v>
      </c>
      <c r="C170" s="462"/>
      <c r="D170" s="462"/>
      <c r="E170" s="462"/>
      <c r="F170" s="462"/>
      <c r="G170" s="462"/>
      <c r="H170" s="462"/>
      <c r="I170" s="462"/>
      <c r="J170" s="462"/>
      <c r="K170" s="462"/>
      <c r="L170" s="462"/>
      <c r="M170" s="462"/>
      <c r="N170" s="462"/>
      <c r="O170" s="404"/>
    </row>
    <row r="171" spans="1:23" s="313" customFormat="1" ht="18.75" x14ac:dyDescent="0.2">
      <c r="A171" s="308"/>
      <c r="B171" s="309"/>
      <c r="C171" s="310"/>
      <c r="D171" s="310"/>
      <c r="E171" s="310"/>
      <c r="F171" s="310"/>
      <c r="G171" s="310"/>
      <c r="H171" s="311"/>
      <c r="I171" s="311"/>
      <c r="J171" s="311"/>
      <c r="K171" s="311"/>
      <c r="L171" s="311"/>
      <c r="M171" s="311"/>
      <c r="N171" s="312"/>
      <c r="O171" s="290"/>
    </row>
    <row r="172" spans="1:23" s="313" customFormat="1" ht="26.25" customHeight="1" x14ac:dyDescent="0.2">
      <c r="A172" s="308"/>
      <c r="B172" s="309"/>
      <c r="C172" s="309"/>
      <c r="D172" s="314"/>
      <c r="E172" s="314"/>
      <c r="F172" s="314"/>
      <c r="G172" s="314"/>
      <c r="H172" s="311"/>
      <c r="I172" s="311"/>
      <c r="J172" s="311"/>
      <c r="K172" s="311"/>
      <c r="L172" s="311"/>
      <c r="M172" s="311"/>
      <c r="N172" s="312"/>
      <c r="O172" s="290"/>
    </row>
    <row r="173" spans="1:23" s="313" customFormat="1" ht="18.75" x14ac:dyDescent="0.2">
      <c r="A173" s="308"/>
      <c r="B173" s="309"/>
      <c r="C173" s="309"/>
      <c r="D173" s="314"/>
      <c r="E173" s="314"/>
      <c r="F173" s="314"/>
      <c r="G173" s="314"/>
      <c r="H173" s="311"/>
      <c r="I173" s="311"/>
      <c r="J173" s="311"/>
      <c r="K173" s="311"/>
      <c r="L173" s="311"/>
      <c r="M173" s="311"/>
      <c r="N173" s="312"/>
      <c r="O173" s="290"/>
    </row>
    <row r="174" spans="1:23" s="313" customFormat="1" ht="23.25" customHeight="1" x14ac:dyDescent="0.2">
      <c r="A174" s="308"/>
      <c r="B174" s="309"/>
      <c r="C174" s="309"/>
      <c r="D174" s="314"/>
      <c r="E174" s="314"/>
      <c r="F174" s="314"/>
      <c r="G174" s="314"/>
      <c r="H174" s="311"/>
      <c r="I174" s="311"/>
      <c r="J174" s="311"/>
      <c r="K174" s="311"/>
      <c r="L174" s="311"/>
      <c r="M174" s="311"/>
      <c r="N174" s="312"/>
      <c r="O174" s="290"/>
    </row>
    <row r="175" spans="1:23" s="313" customFormat="1" ht="18.75" x14ac:dyDescent="0.2">
      <c r="A175" s="308"/>
      <c r="B175" s="309"/>
      <c r="C175" s="309"/>
      <c r="D175" s="314"/>
      <c r="E175" s="314"/>
      <c r="F175" s="314"/>
      <c r="G175" s="314"/>
      <c r="H175" s="311"/>
      <c r="I175" s="311"/>
      <c r="J175" s="311"/>
      <c r="K175" s="311"/>
      <c r="L175" s="311"/>
      <c r="M175" s="311"/>
      <c r="N175" s="312"/>
      <c r="O175" s="290"/>
    </row>
    <row r="176" spans="1:23" s="313" customFormat="1" ht="19.5" customHeight="1" x14ac:dyDescent="0.2">
      <c r="A176" s="308"/>
      <c r="B176" s="309"/>
      <c r="C176" s="309"/>
      <c r="D176" s="314"/>
      <c r="E176" s="314"/>
      <c r="F176" s="314"/>
      <c r="G176" s="314"/>
      <c r="H176" s="311"/>
      <c r="I176" s="311"/>
      <c r="J176" s="311"/>
      <c r="K176" s="311"/>
      <c r="L176" s="311"/>
      <c r="M176" s="311"/>
      <c r="N176" s="312"/>
      <c r="O176" s="290"/>
    </row>
    <row r="177" spans="1:15" s="313" customFormat="1" ht="18.75" x14ac:dyDescent="0.25">
      <c r="A177" s="308"/>
      <c r="B177" s="309"/>
      <c r="C177" s="309"/>
      <c r="D177" s="315"/>
      <c r="E177" s="315"/>
      <c r="F177" s="315"/>
      <c r="G177" s="308"/>
      <c r="H177" s="311"/>
      <c r="I177" s="311"/>
      <c r="J177" s="311"/>
      <c r="K177" s="311"/>
      <c r="L177" s="311"/>
      <c r="M177" s="311"/>
      <c r="N177" s="312"/>
      <c r="O177" s="290"/>
    </row>
    <row r="178" spans="1:15" s="313" customFormat="1" ht="18.75" x14ac:dyDescent="0.25">
      <c r="A178" s="308"/>
      <c r="B178" s="309"/>
      <c r="C178" s="309"/>
      <c r="D178" s="315"/>
      <c r="E178" s="315"/>
      <c r="F178" s="315"/>
      <c r="G178" s="308"/>
      <c r="H178" s="311"/>
      <c r="I178" s="311"/>
      <c r="J178" s="311"/>
      <c r="K178" s="311"/>
      <c r="L178" s="311"/>
      <c r="M178" s="311"/>
      <c r="N178" s="312"/>
      <c r="O178" s="290"/>
    </row>
    <row r="179" spans="1:15" s="313" customFormat="1" ht="12.75" x14ac:dyDescent="0.2">
      <c r="A179" s="308"/>
      <c r="B179" s="308"/>
      <c r="C179" s="316"/>
      <c r="D179" s="314"/>
      <c r="E179" s="314"/>
      <c r="F179" s="314"/>
      <c r="G179" s="308"/>
      <c r="H179" s="311"/>
      <c r="I179" s="311"/>
      <c r="J179" s="311"/>
      <c r="K179" s="311"/>
      <c r="L179" s="311"/>
      <c r="M179" s="311"/>
      <c r="N179" s="312"/>
      <c r="O179" s="290"/>
    </row>
  </sheetData>
  <mergeCells count="34">
    <mergeCell ref="A18:C18"/>
    <mergeCell ref="A8:N8"/>
    <mergeCell ref="A9:N9"/>
    <mergeCell ref="A10:N10"/>
    <mergeCell ref="A14:A15"/>
    <mergeCell ref="B14:B15"/>
    <mergeCell ref="C14:C15"/>
    <mergeCell ref="D14:D15"/>
    <mergeCell ref="E14:E15"/>
    <mergeCell ref="F14:F15"/>
    <mergeCell ref="G14:G15"/>
    <mergeCell ref="H14:J14"/>
    <mergeCell ref="K14:M14"/>
    <mergeCell ref="N14:N15"/>
    <mergeCell ref="A17:C17"/>
    <mergeCell ref="B159:N159"/>
    <mergeCell ref="A30:C30"/>
    <mergeCell ref="N131:N136"/>
    <mergeCell ref="N140:N143"/>
    <mergeCell ref="B156:N156"/>
    <mergeCell ref="B157:N157"/>
    <mergeCell ref="B158:N158"/>
    <mergeCell ref="B170:N170"/>
    <mergeCell ref="B160:N160"/>
    <mergeCell ref="B161:N161"/>
    <mergeCell ref="O161:W161"/>
    <mergeCell ref="B162:N162"/>
    <mergeCell ref="B163:N163"/>
    <mergeCell ref="B164:N164"/>
    <mergeCell ref="B165:N165"/>
    <mergeCell ref="B166:N166"/>
    <mergeCell ref="B167:N167"/>
    <mergeCell ref="B168:N168"/>
    <mergeCell ref="B169:N169"/>
  </mergeCells>
  <printOptions horizontalCentered="1"/>
  <pageMargins left="0.35433070866141736" right="0.27559055118110237" top="0.39370078740157483" bottom="0.27559055118110237" header="0.15748031496062992" footer="0.15748031496062992"/>
  <pageSetup paperSize="9" scale="44" fitToHeight="0" orientation="landscape" r:id="rId1"/>
  <headerFooter>
    <oddFooter>&amp;CСтр. &amp;P &amp;RВсего стр.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38"/>
  <sheetViews>
    <sheetView topLeftCell="M1" zoomScale="70" zoomScaleNormal="70" workbookViewId="0">
      <pane ySplit="2" topLeftCell="A3" activePane="bottomLeft" state="frozen"/>
      <selection pane="bottomLeft" activeCell="U34" sqref="U34"/>
    </sheetView>
  </sheetViews>
  <sheetFormatPr defaultColWidth="9.140625" defaultRowHeight="15.75" x14ac:dyDescent="0.25"/>
  <cols>
    <col min="1" max="1" width="9.42578125" style="1" customWidth="1"/>
    <col min="2" max="2" width="13.7109375" style="1" customWidth="1"/>
    <col min="3" max="3" width="10.140625" style="1" customWidth="1"/>
    <col min="4" max="4" width="28.28515625" style="1" customWidth="1"/>
    <col min="5" max="5" width="32.42578125" style="1" customWidth="1"/>
    <col min="6" max="7" width="10.140625" style="1" customWidth="1"/>
    <col min="8" max="8" width="13.85546875" style="1" customWidth="1"/>
    <col min="9" max="9" width="16.140625" style="1" customWidth="1"/>
    <col min="10" max="11" width="13.5703125" style="9" customWidth="1"/>
    <col min="12" max="12" width="30.28515625" style="1" customWidth="1"/>
    <col min="13" max="13" width="9.140625" style="1"/>
    <col min="14" max="14" width="9.42578125" style="1" customWidth="1"/>
    <col min="15" max="15" width="13.7109375" style="1" customWidth="1"/>
    <col min="16" max="16" width="10.140625" style="1" customWidth="1"/>
    <col min="17" max="17" width="28.28515625" style="1" customWidth="1"/>
    <col min="18" max="18" width="32.42578125" style="1" customWidth="1"/>
    <col min="19" max="20" width="10.140625" style="1" customWidth="1"/>
    <col min="21" max="21" width="13.85546875" style="1" customWidth="1"/>
    <col min="22" max="22" width="16.140625" style="1" customWidth="1"/>
    <col min="23" max="24" width="13.5703125" style="9" customWidth="1"/>
    <col min="25" max="25" width="30.28515625" style="1" customWidth="1"/>
    <col min="26" max="16384" width="9.140625" style="1"/>
  </cols>
  <sheetData>
    <row r="1" spans="1:25" ht="33.75" customHeight="1" x14ac:dyDescent="0.25">
      <c r="A1" s="4" t="s">
        <v>55</v>
      </c>
      <c r="B1" s="4"/>
      <c r="N1" s="4" t="s">
        <v>54</v>
      </c>
      <c r="O1" s="4"/>
    </row>
    <row r="2" spans="1:25" ht="26.25" customHeight="1" x14ac:dyDescent="0.25">
      <c r="A2" s="2" t="s">
        <v>7</v>
      </c>
      <c r="B2" s="2" t="s">
        <v>0</v>
      </c>
      <c r="C2" s="2" t="s">
        <v>1</v>
      </c>
      <c r="D2" s="2" t="s">
        <v>29</v>
      </c>
      <c r="E2" s="2" t="s">
        <v>5</v>
      </c>
      <c r="F2" s="2" t="s">
        <v>30</v>
      </c>
      <c r="G2" s="2" t="s">
        <v>31</v>
      </c>
      <c r="H2" s="2" t="s">
        <v>2</v>
      </c>
      <c r="I2" s="2" t="s">
        <v>3</v>
      </c>
      <c r="J2" s="14" t="s">
        <v>4</v>
      </c>
      <c r="K2" s="14" t="s">
        <v>32</v>
      </c>
      <c r="L2" s="2" t="s">
        <v>6</v>
      </c>
      <c r="N2" s="2" t="s">
        <v>7</v>
      </c>
      <c r="O2" s="2" t="s">
        <v>0</v>
      </c>
      <c r="P2" s="2" t="s">
        <v>1</v>
      </c>
      <c r="Q2" s="2" t="s">
        <v>29</v>
      </c>
      <c r="R2" s="2" t="s">
        <v>5</v>
      </c>
      <c r="S2" s="2" t="s">
        <v>30</v>
      </c>
      <c r="T2" s="2" t="s">
        <v>31</v>
      </c>
      <c r="U2" s="2" t="s">
        <v>2</v>
      </c>
      <c r="V2" s="2" t="s">
        <v>3</v>
      </c>
      <c r="W2" s="14" t="s">
        <v>4</v>
      </c>
      <c r="X2" s="14" t="s">
        <v>32</v>
      </c>
      <c r="Y2" s="2" t="s">
        <v>6</v>
      </c>
    </row>
    <row r="3" spans="1:25" x14ac:dyDescent="0.25">
      <c r="A3" s="5"/>
      <c r="B3" s="7"/>
      <c r="C3" s="3"/>
      <c r="D3" s="5"/>
      <c r="F3" s="9"/>
      <c r="G3" s="9"/>
      <c r="H3" s="10"/>
      <c r="I3" s="8"/>
      <c r="J3" s="8">
        <f t="shared" ref="J3:J25" si="0">H3-I3</f>
        <v>0</v>
      </c>
      <c r="K3" s="8"/>
      <c r="L3" s="8"/>
      <c r="N3" s="5"/>
      <c r="O3" s="7"/>
      <c r="P3" s="3"/>
      <c r="Q3" s="5"/>
      <c r="S3" s="9"/>
      <c r="T3" s="9"/>
      <c r="U3" s="10"/>
      <c r="V3" s="8"/>
      <c r="W3" s="8">
        <f t="shared" ref="W3:W9" si="1">U3-V3</f>
        <v>0</v>
      </c>
      <c r="X3" s="8"/>
      <c r="Y3" s="8"/>
    </row>
    <row r="4" spans="1:25" x14ac:dyDescent="0.25">
      <c r="A4" s="31"/>
      <c r="B4" s="7"/>
      <c r="C4" s="30" t="s">
        <v>21</v>
      </c>
      <c r="D4" s="5" t="s">
        <v>44</v>
      </c>
      <c r="E4" s="6" t="s">
        <v>33</v>
      </c>
      <c r="F4" s="60"/>
      <c r="G4" s="60"/>
      <c r="H4" s="75">
        <v>9111.73</v>
      </c>
      <c r="I4" s="57"/>
      <c r="J4" s="62">
        <f t="shared" si="0"/>
        <v>9111.73</v>
      </c>
      <c r="K4" s="57"/>
      <c r="L4" s="57"/>
      <c r="N4" s="31"/>
      <c r="O4" s="7"/>
      <c r="P4" s="30" t="s">
        <v>21</v>
      </c>
      <c r="Q4" s="5" t="s">
        <v>44</v>
      </c>
      <c r="R4" s="6" t="s">
        <v>33</v>
      </c>
      <c r="S4" s="60"/>
      <c r="T4" s="60"/>
      <c r="U4" s="75">
        <v>1239.8699999999999</v>
      </c>
      <c r="V4" s="57"/>
      <c r="W4" s="62">
        <f t="shared" si="1"/>
        <v>1239.8699999999999</v>
      </c>
      <c r="X4" s="57"/>
      <c r="Y4" s="57"/>
    </row>
    <row r="5" spans="1:25" x14ac:dyDescent="0.25">
      <c r="A5" s="31"/>
      <c r="B5" s="34"/>
      <c r="C5" s="30" t="s">
        <v>22</v>
      </c>
      <c r="D5" s="5" t="s">
        <v>44</v>
      </c>
      <c r="E5" s="6" t="s">
        <v>34</v>
      </c>
      <c r="F5" s="60"/>
      <c r="G5" s="60"/>
      <c r="H5" s="75">
        <v>2888.32</v>
      </c>
      <c r="I5" s="57"/>
      <c r="J5" s="52">
        <f t="shared" si="0"/>
        <v>2888.32</v>
      </c>
      <c r="K5" s="57"/>
      <c r="L5" s="61"/>
      <c r="N5" s="31"/>
      <c r="O5" s="34"/>
      <c r="P5" s="30" t="s">
        <v>22</v>
      </c>
      <c r="Q5" s="5" t="s">
        <v>44</v>
      </c>
      <c r="R5" s="6" t="s">
        <v>34</v>
      </c>
      <c r="S5" s="60"/>
      <c r="T5" s="60"/>
      <c r="U5" s="75">
        <v>206.63</v>
      </c>
      <c r="V5" s="57"/>
      <c r="W5" s="52">
        <f t="shared" si="1"/>
        <v>206.63</v>
      </c>
      <c r="X5" s="57"/>
      <c r="Y5" s="61"/>
    </row>
    <row r="6" spans="1:25" x14ac:dyDescent="0.25">
      <c r="A6" s="31"/>
      <c r="B6" s="7"/>
      <c r="C6" s="30" t="s">
        <v>35</v>
      </c>
      <c r="D6" s="5" t="s">
        <v>44</v>
      </c>
      <c r="E6" s="1" t="s">
        <v>36</v>
      </c>
      <c r="F6" s="9"/>
      <c r="G6" s="9"/>
      <c r="H6" s="76">
        <v>129.66999999999999</v>
      </c>
      <c r="I6" s="8"/>
      <c r="J6" s="53">
        <f t="shared" si="0"/>
        <v>129.66999999999999</v>
      </c>
      <c r="K6" s="8"/>
      <c r="L6" s="8"/>
      <c r="N6" s="31"/>
      <c r="O6" s="7"/>
      <c r="P6" s="30" t="s">
        <v>35</v>
      </c>
      <c r="Q6" s="5" t="s">
        <v>44</v>
      </c>
      <c r="R6" s="1" t="s">
        <v>36</v>
      </c>
      <c r="S6" s="9"/>
      <c r="T6" s="9"/>
      <c r="U6" s="76">
        <v>15.6</v>
      </c>
      <c r="V6" s="8"/>
      <c r="W6" s="53">
        <f t="shared" si="1"/>
        <v>15.6</v>
      </c>
      <c r="X6" s="8"/>
      <c r="Y6" s="8"/>
    </row>
    <row r="7" spans="1:25" x14ac:dyDescent="0.25">
      <c r="A7" s="31"/>
      <c r="B7" s="7"/>
      <c r="C7" s="30" t="s">
        <v>35</v>
      </c>
      <c r="D7" s="5"/>
      <c r="E7" s="1" t="s">
        <v>36</v>
      </c>
      <c r="F7" s="9"/>
      <c r="G7" s="9"/>
      <c r="H7" s="76">
        <f>0.15*F18</f>
        <v>32.475000000000001</v>
      </c>
      <c r="I7" s="8"/>
      <c r="J7" s="53">
        <f>H7-I7</f>
        <v>32.475000000000001</v>
      </c>
      <c r="K7" s="8"/>
      <c r="L7" s="8" t="s">
        <v>59</v>
      </c>
      <c r="N7" s="31"/>
      <c r="O7" s="7"/>
      <c r="P7" s="30" t="s">
        <v>35</v>
      </c>
      <c r="Q7" s="5"/>
      <c r="R7" s="1" t="s">
        <v>36</v>
      </c>
      <c r="S7" s="9"/>
      <c r="T7" s="9"/>
      <c r="U7" s="76">
        <f>0.15*S15</f>
        <v>3.9</v>
      </c>
      <c r="V7" s="8"/>
      <c r="W7" s="53">
        <f>U7-V7</f>
        <v>3.9</v>
      </c>
      <c r="X7" s="8"/>
      <c r="Y7" s="8" t="s">
        <v>59</v>
      </c>
    </row>
    <row r="8" spans="1:25" x14ac:dyDescent="0.25">
      <c r="A8" s="31"/>
      <c r="B8" s="7"/>
      <c r="C8" s="30" t="s">
        <v>23</v>
      </c>
      <c r="D8" s="5" t="s">
        <v>8</v>
      </c>
      <c r="E8" s="1" t="s">
        <v>37</v>
      </c>
      <c r="F8" s="9"/>
      <c r="G8" s="9"/>
      <c r="H8" s="76">
        <v>676.24</v>
      </c>
      <c r="I8" s="8"/>
      <c r="J8" s="55">
        <f t="shared" si="0"/>
        <v>676.24</v>
      </c>
      <c r="K8" s="8"/>
      <c r="L8" s="8" t="s">
        <v>38</v>
      </c>
      <c r="N8" s="31"/>
      <c r="O8" s="7"/>
      <c r="P8" s="30" t="s">
        <v>23</v>
      </c>
      <c r="Q8" s="5" t="s">
        <v>45</v>
      </c>
      <c r="R8" s="1" t="s">
        <v>66</v>
      </c>
      <c r="S8" s="9"/>
      <c r="T8" s="9"/>
      <c r="U8" s="76">
        <v>220.3</v>
      </c>
      <c r="V8" s="8"/>
      <c r="W8" s="55">
        <f t="shared" si="1"/>
        <v>220.3</v>
      </c>
      <c r="X8" s="8"/>
      <c r="Y8" s="8" t="s">
        <v>38</v>
      </c>
    </row>
    <row r="9" spans="1:25" x14ac:dyDescent="0.25">
      <c r="A9" s="10"/>
      <c r="B9" s="7"/>
      <c r="C9" s="30" t="s">
        <v>24</v>
      </c>
      <c r="D9" s="5" t="s">
        <v>45</v>
      </c>
      <c r="E9" s="1" t="s">
        <v>28</v>
      </c>
      <c r="F9" s="9"/>
      <c r="G9" s="9"/>
      <c r="H9" s="76">
        <v>173.41</v>
      </c>
      <c r="I9" s="8"/>
      <c r="J9" s="56">
        <f t="shared" si="0"/>
        <v>173.41</v>
      </c>
      <c r="K9" s="8"/>
      <c r="L9" s="8" t="s">
        <v>39</v>
      </c>
      <c r="N9" s="10"/>
      <c r="O9" s="7"/>
      <c r="P9" s="30" t="s">
        <v>24</v>
      </c>
      <c r="Q9" s="5" t="s">
        <v>42</v>
      </c>
      <c r="R9" s="1" t="s">
        <v>41</v>
      </c>
      <c r="S9" s="9"/>
      <c r="T9" s="9"/>
      <c r="U9" s="76">
        <f>260.41</f>
        <v>260.41000000000003</v>
      </c>
      <c r="V9" s="8"/>
      <c r="W9" s="56">
        <f t="shared" si="1"/>
        <v>260.41000000000003</v>
      </c>
      <c r="X9" s="8"/>
      <c r="Y9" s="8" t="s">
        <v>56</v>
      </c>
    </row>
    <row r="10" spans="1:25" x14ac:dyDescent="0.25">
      <c r="A10" s="10"/>
      <c r="B10" s="7"/>
      <c r="C10" s="30" t="s">
        <v>24</v>
      </c>
      <c r="D10" s="5" t="s">
        <v>45</v>
      </c>
      <c r="E10" s="1" t="s">
        <v>28</v>
      </c>
      <c r="F10" s="9"/>
      <c r="G10" s="9"/>
      <c r="H10" s="76">
        <f>833.64-H9</f>
        <v>660.23</v>
      </c>
      <c r="I10" s="8"/>
      <c r="J10" s="56">
        <f t="shared" si="0"/>
        <v>660.23</v>
      </c>
      <c r="K10" s="8"/>
      <c r="L10" s="8" t="s">
        <v>40</v>
      </c>
      <c r="N10" s="10"/>
      <c r="O10" s="7"/>
      <c r="P10" s="30" t="s">
        <v>25</v>
      </c>
      <c r="Q10" s="5" t="s">
        <v>44</v>
      </c>
      <c r="R10" s="1" t="s">
        <v>43</v>
      </c>
      <c r="S10" s="9"/>
      <c r="T10" s="9"/>
      <c r="U10" s="76">
        <f>424.42</f>
        <v>424.42</v>
      </c>
      <c r="V10" s="8"/>
      <c r="W10" s="64">
        <f t="shared" ref="W10:W12" si="2">U10-V10</f>
        <v>424.42</v>
      </c>
      <c r="X10" s="8"/>
      <c r="Y10" s="8"/>
    </row>
    <row r="11" spans="1:25" x14ac:dyDescent="0.25">
      <c r="A11" s="10"/>
      <c r="B11" s="7"/>
      <c r="C11" s="30" t="s">
        <v>25</v>
      </c>
      <c r="D11" s="5" t="s">
        <v>42</v>
      </c>
      <c r="E11" s="1" t="s">
        <v>41</v>
      </c>
      <c r="F11" s="9"/>
      <c r="G11" s="9"/>
      <c r="H11" s="76">
        <f>618.53</f>
        <v>618.53</v>
      </c>
      <c r="I11" s="8"/>
      <c r="J11" s="64">
        <f t="shared" si="0"/>
        <v>618.53</v>
      </c>
      <c r="K11" s="8"/>
      <c r="L11" s="8"/>
      <c r="N11" s="10"/>
      <c r="O11" s="7"/>
      <c r="P11" s="30" t="s">
        <v>20</v>
      </c>
      <c r="Q11" s="5" t="s">
        <v>8</v>
      </c>
      <c r="R11" s="1" t="s">
        <v>37</v>
      </c>
      <c r="S11" s="9"/>
      <c r="T11" s="9"/>
      <c r="U11" s="76">
        <v>228.51</v>
      </c>
      <c r="V11" s="8"/>
      <c r="W11" s="32">
        <f t="shared" si="2"/>
        <v>228.51</v>
      </c>
      <c r="X11" s="8"/>
      <c r="Y11" s="8"/>
    </row>
    <row r="12" spans="1:25" x14ac:dyDescent="0.25">
      <c r="A12" s="10"/>
      <c r="B12" s="7"/>
      <c r="C12" s="30" t="s">
        <v>20</v>
      </c>
      <c r="D12" s="5" t="s">
        <v>44</v>
      </c>
      <c r="E12" s="1" t="s">
        <v>43</v>
      </c>
      <c r="F12" s="9"/>
      <c r="G12" s="9"/>
      <c r="H12" s="76">
        <v>625.76</v>
      </c>
      <c r="I12" s="8"/>
      <c r="J12" s="32">
        <f t="shared" si="0"/>
        <v>625.76</v>
      </c>
      <c r="K12" s="8"/>
      <c r="L12" s="8"/>
      <c r="N12" s="10"/>
      <c r="O12" s="33"/>
      <c r="P12" s="30" t="s">
        <v>26</v>
      </c>
      <c r="Q12" s="5" t="s">
        <v>46</v>
      </c>
      <c r="R12" s="1" t="s">
        <v>47</v>
      </c>
      <c r="S12" s="9"/>
      <c r="T12" s="9"/>
      <c r="U12" s="76">
        <v>210.72</v>
      </c>
      <c r="V12" s="8"/>
      <c r="W12" s="54">
        <f t="shared" si="2"/>
        <v>210.72</v>
      </c>
      <c r="X12" s="8"/>
      <c r="Y12" s="8"/>
    </row>
    <row r="13" spans="1:25" x14ac:dyDescent="0.25">
      <c r="A13" s="10"/>
      <c r="B13" s="33"/>
      <c r="C13" s="30" t="s">
        <v>26</v>
      </c>
      <c r="D13" s="5" t="s">
        <v>46</v>
      </c>
      <c r="E13" s="1" t="s">
        <v>47</v>
      </c>
      <c r="F13" s="9"/>
      <c r="G13" s="9"/>
      <c r="H13" s="76">
        <v>805.17</v>
      </c>
      <c r="I13" s="8"/>
      <c r="J13" s="54">
        <f t="shared" si="0"/>
        <v>805.17</v>
      </c>
      <c r="K13" s="8"/>
      <c r="L13" s="8"/>
      <c r="N13" s="10"/>
      <c r="O13" s="7"/>
      <c r="P13" s="30"/>
      <c r="Q13" s="5"/>
      <c r="R13" s="1" t="s">
        <v>8</v>
      </c>
      <c r="S13" s="9"/>
      <c r="T13" s="9"/>
      <c r="U13" s="76">
        <v>2755.56</v>
      </c>
      <c r="V13" s="8">
        <f>U23</f>
        <v>305.41000000000003</v>
      </c>
      <c r="W13" s="51">
        <f t="shared" ref="W13:W24" si="3">U13-V13</f>
        <v>2450.15</v>
      </c>
      <c r="X13" s="8"/>
      <c r="Y13" s="8"/>
    </row>
    <row r="14" spans="1:25" x14ac:dyDescent="0.25">
      <c r="A14" s="10"/>
      <c r="B14" s="7"/>
      <c r="C14" s="30" t="s">
        <v>27</v>
      </c>
      <c r="D14" s="5" t="s">
        <v>46</v>
      </c>
      <c r="E14" s="1" t="s">
        <v>48</v>
      </c>
      <c r="F14" s="9"/>
      <c r="G14" s="9"/>
      <c r="H14" s="76">
        <v>1187.0899999999999</v>
      </c>
      <c r="I14" s="8"/>
      <c r="J14" s="63">
        <f t="shared" si="0"/>
        <v>1187.0899999999999</v>
      </c>
      <c r="K14" s="8"/>
      <c r="L14" s="8"/>
      <c r="N14" s="10"/>
      <c r="O14" s="7"/>
      <c r="P14" s="30"/>
      <c r="Q14" s="5"/>
      <c r="R14" s="1" t="s">
        <v>49</v>
      </c>
      <c r="S14" s="9"/>
      <c r="T14" s="9"/>
      <c r="U14" s="76">
        <v>199.4</v>
      </c>
      <c r="V14" s="8"/>
      <c r="W14" s="65">
        <f t="shared" si="3"/>
        <v>199.4</v>
      </c>
      <c r="X14" s="8"/>
      <c r="Y14" s="8"/>
    </row>
    <row r="15" spans="1:25" ht="31.5" x14ac:dyDescent="0.25">
      <c r="A15" s="10"/>
      <c r="B15" s="7"/>
      <c r="C15" s="30" t="s">
        <v>60</v>
      </c>
      <c r="D15" s="5"/>
      <c r="E15" s="1" t="s">
        <v>61</v>
      </c>
      <c r="F15" s="9"/>
      <c r="G15" s="9"/>
      <c r="H15" s="76">
        <f>75.39+75.34+75.39+75.39</f>
        <v>301.51</v>
      </c>
      <c r="I15" s="8"/>
      <c r="J15" s="66">
        <f>H15-I15</f>
        <v>301.51</v>
      </c>
      <c r="K15" s="8"/>
      <c r="L15" s="67" t="s">
        <v>83</v>
      </c>
      <c r="N15" s="10"/>
      <c r="O15" s="7"/>
      <c r="P15" s="30"/>
      <c r="Q15" s="5"/>
      <c r="R15" s="1" t="s">
        <v>51</v>
      </c>
      <c r="S15" s="77">
        <f>2.6*2*5</f>
        <v>26</v>
      </c>
      <c r="T15" s="9"/>
      <c r="U15" s="50"/>
      <c r="V15" s="8"/>
      <c r="W15" s="8">
        <f t="shared" si="3"/>
        <v>0</v>
      </c>
      <c r="X15" s="8"/>
      <c r="Y15" s="8"/>
    </row>
    <row r="16" spans="1:25" x14ac:dyDescent="0.25">
      <c r="A16" s="10"/>
      <c r="B16" s="7"/>
      <c r="C16" s="30"/>
      <c r="D16" s="5"/>
      <c r="E16" s="1" t="s">
        <v>8</v>
      </c>
      <c r="F16" s="9"/>
      <c r="G16" s="9"/>
      <c r="H16" s="76">
        <v>7772</v>
      </c>
      <c r="I16" s="8">
        <f>H25</f>
        <v>330.34000000000003</v>
      </c>
      <c r="J16" s="51">
        <f t="shared" si="0"/>
        <v>7441.66</v>
      </c>
      <c r="K16" s="8">
        <f>7891-Таблица1[[#This Row],[Итого, м2]]</f>
        <v>449.34000000000015</v>
      </c>
      <c r="L16" s="8"/>
      <c r="N16" s="10"/>
      <c r="O16" s="7"/>
      <c r="P16" s="30"/>
      <c r="Q16" s="5"/>
      <c r="R16" s="77" t="s">
        <v>50</v>
      </c>
      <c r="S16" s="77">
        <v>300</v>
      </c>
      <c r="T16" s="49"/>
      <c r="U16" s="50"/>
      <c r="V16" s="8"/>
      <c r="W16" s="8">
        <f t="shared" si="3"/>
        <v>0</v>
      </c>
      <c r="X16" s="8"/>
      <c r="Y16" s="8"/>
    </row>
    <row r="17" spans="1:25" x14ac:dyDescent="0.25">
      <c r="A17" s="10"/>
      <c r="B17" s="7"/>
      <c r="C17" s="30" t="s">
        <v>60</v>
      </c>
      <c r="D17" s="5"/>
      <c r="E17" s="1" t="s">
        <v>49</v>
      </c>
      <c r="F17" s="9"/>
      <c r="G17" s="9"/>
      <c r="H17" s="76">
        <f>1061.71</f>
        <v>1061.71</v>
      </c>
      <c r="I17" s="8"/>
      <c r="J17" s="65">
        <f t="shared" si="0"/>
        <v>1061.71</v>
      </c>
      <c r="K17" s="8"/>
      <c r="L17" s="67" t="s">
        <v>82</v>
      </c>
      <c r="N17" s="10"/>
      <c r="O17" s="7"/>
      <c r="P17" s="30"/>
      <c r="Q17" s="5"/>
      <c r="R17" s="34" t="s">
        <v>52</v>
      </c>
      <c r="S17" s="7">
        <f>979.86</f>
        <v>979.86</v>
      </c>
      <c r="T17" s="49"/>
      <c r="U17" s="50"/>
      <c r="V17" s="8"/>
      <c r="W17" s="8">
        <f t="shared" si="3"/>
        <v>0</v>
      </c>
      <c r="X17" s="8"/>
      <c r="Y17" s="8"/>
    </row>
    <row r="18" spans="1:25" s="9" customFormat="1" x14ac:dyDescent="0.25">
      <c r="A18" s="10"/>
      <c r="B18" s="7"/>
      <c r="C18" s="30"/>
      <c r="D18" s="5"/>
      <c r="E18" s="1" t="s">
        <v>51</v>
      </c>
      <c r="F18" s="77">
        <v>216.5</v>
      </c>
      <c r="H18" s="50"/>
      <c r="I18" s="8"/>
      <c r="J18" s="8">
        <f t="shared" si="0"/>
        <v>0</v>
      </c>
      <c r="K18" s="8"/>
      <c r="L18" s="8"/>
      <c r="N18" s="10"/>
      <c r="O18" s="7"/>
      <c r="P18" s="30"/>
      <c r="Q18" s="5"/>
      <c r="R18" s="34"/>
      <c r="S18" s="49"/>
      <c r="T18" s="49"/>
      <c r="U18" s="50"/>
      <c r="V18" s="8"/>
      <c r="W18" s="8">
        <f t="shared" si="3"/>
        <v>0</v>
      </c>
      <c r="X18" s="8"/>
      <c r="Y18" s="8"/>
    </row>
    <row r="19" spans="1:25" x14ac:dyDescent="0.25">
      <c r="A19" s="10"/>
      <c r="B19" s="7"/>
      <c r="C19" s="30"/>
      <c r="D19" s="5"/>
      <c r="E19" s="1" t="s">
        <v>50</v>
      </c>
      <c r="F19" s="77">
        <v>1913.42</v>
      </c>
      <c r="G19" s="49"/>
      <c r="H19" s="50"/>
      <c r="I19" s="8"/>
      <c r="J19" s="8">
        <f t="shared" si="0"/>
        <v>0</v>
      </c>
      <c r="K19" s="8"/>
      <c r="L19" s="8"/>
      <c r="N19" s="10"/>
      <c r="O19" s="7"/>
      <c r="P19" s="30"/>
      <c r="Q19" s="5"/>
      <c r="R19" s="34" t="s">
        <v>81</v>
      </c>
      <c r="S19" s="7">
        <f>198.47-4.5*3</f>
        <v>184.97</v>
      </c>
      <c r="T19" s="49"/>
      <c r="U19" s="50"/>
      <c r="V19" s="8"/>
      <c r="W19" s="8">
        <f t="shared" si="3"/>
        <v>0</v>
      </c>
      <c r="X19" s="8"/>
      <c r="Y19" s="8"/>
    </row>
    <row r="20" spans="1:25" x14ac:dyDescent="0.25">
      <c r="A20" s="10"/>
      <c r="B20" s="7"/>
      <c r="C20" s="30"/>
      <c r="D20" s="5"/>
      <c r="E20" s="34" t="s">
        <v>52</v>
      </c>
      <c r="F20" s="7">
        <f>4184</f>
        <v>4184</v>
      </c>
      <c r="G20" s="49"/>
      <c r="H20" s="50"/>
      <c r="I20" s="8"/>
      <c r="J20" s="8">
        <f t="shared" si="0"/>
        <v>0</v>
      </c>
      <c r="K20" s="8"/>
      <c r="L20" s="8"/>
      <c r="N20" s="10"/>
      <c r="O20" s="7"/>
      <c r="P20" s="30"/>
      <c r="Q20" s="5"/>
      <c r="R20" s="34" t="s">
        <v>57</v>
      </c>
      <c r="S20" s="7">
        <v>1</v>
      </c>
      <c r="T20" s="49"/>
      <c r="U20" s="50"/>
      <c r="V20" s="8"/>
      <c r="W20" s="8">
        <f t="shared" si="3"/>
        <v>0</v>
      </c>
      <c r="X20" s="8"/>
      <c r="Y20" s="8"/>
    </row>
    <row r="21" spans="1:25" x14ac:dyDescent="0.25">
      <c r="A21" s="10"/>
      <c r="B21" s="7"/>
      <c r="C21" s="30"/>
      <c r="D21" s="5"/>
      <c r="E21" s="34" t="s">
        <v>53</v>
      </c>
      <c r="F21" s="7">
        <v>197</v>
      </c>
      <c r="G21" s="49"/>
      <c r="H21" s="50"/>
      <c r="I21" s="8"/>
      <c r="J21" s="8">
        <f t="shared" si="0"/>
        <v>0</v>
      </c>
      <c r="K21" s="8"/>
      <c r="L21" s="8"/>
      <c r="N21" s="10"/>
      <c r="O21" s="7"/>
      <c r="P21" s="30"/>
      <c r="Q21" s="5"/>
      <c r="R21" s="34" t="s">
        <v>58</v>
      </c>
      <c r="S21" s="7">
        <v>2</v>
      </c>
      <c r="T21" s="49"/>
      <c r="U21" s="50"/>
      <c r="V21" s="8"/>
      <c r="W21" s="8">
        <f t="shared" si="3"/>
        <v>0</v>
      </c>
      <c r="X21" s="8"/>
      <c r="Y21" s="8"/>
    </row>
    <row r="22" spans="1:25" x14ac:dyDescent="0.25">
      <c r="A22" s="10"/>
      <c r="B22" s="7"/>
      <c r="C22" s="30"/>
      <c r="D22" s="5"/>
      <c r="E22" s="34"/>
      <c r="F22" s="49"/>
      <c r="G22" s="49"/>
      <c r="H22" s="50"/>
      <c r="I22" s="8"/>
      <c r="J22" s="8">
        <f t="shared" si="0"/>
        <v>0</v>
      </c>
      <c r="K22" s="8"/>
      <c r="L22" s="8"/>
      <c r="N22" s="10"/>
      <c r="O22" s="7"/>
      <c r="P22" s="30"/>
      <c r="Q22" s="5"/>
      <c r="R22" s="34"/>
      <c r="S22" s="49"/>
      <c r="T22" s="49"/>
      <c r="U22" s="50"/>
      <c r="V22" s="8"/>
      <c r="W22" s="8">
        <f t="shared" si="3"/>
        <v>0</v>
      </c>
      <c r="X22" s="8"/>
      <c r="Y22" s="8"/>
    </row>
    <row r="23" spans="1:25" x14ac:dyDescent="0.25">
      <c r="A23" s="10"/>
      <c r="B23" s="7"/>
      <c r="C23" s="30"/>
      <c r="D23" s="5"/>
      <c r="E23" s="34" t="s">
        <v>80</v>
      </c>
      <c r="F23" s="7">
        <v>548.46</v>
      </c>
      <c r="G23" s="49"/>
      <c r="H23" s="50"/>
      <c r="I23" s="8"/>
      <c r="J23" s="8">
        <f t="shared" si="0"/>
        <v>0</v>
      </c>
      <c r="K23" s="8"/>
      <c r="L23" s="8"/>
      <c r="N23" s="10"/>
      <c r="O23" s="7"/>
      <c r="P23" s="30"/>
      <c r="Q23" s="5"/>
      <c r="R23" s="34" t="s">
        <v>72</v>
      </c>
      <c r="S23" s="7" t="s">
        <v>73</v>
      </c>
      <c r="T23" s="49"/>
      <c r="U23" s="50">
        <f>305.41</f>
        <v>305.41000000000003</v>
      </c>
      <c r="V23" s="8"/>
      <c r="W23" s="8">
        <f t="shared" si="3"/>
        <v>305.41000000000003</v>
      </c>
      <c r="X23" s="8"/>
      <c r="Y23" s="8"/>
    </row>
    <row r="24" spans="1:25" x14ac:dyDescent="0.25">
      <c r="A24" s="10"/>
      <c r="B24" s="7"/>
      <c r="C24" s="30"/>
      <c r="D24" s="5"/>
      <c r="E24" s="34" t="s">
        <v>58</v>
      </c>
      <c r="F24" s="7" t="s">
        <v>73</v>
      </c>
      <c r="G24" s="49"/>
      <c r="H24" s="50"/>
      <c r="I24" s="8"/>
      <c r="J24" s="8">
        <f t="shared" si="0"/>
        <v>0</v>
      </c>
      <c r="K24" s="8"/>
      <c r="L24" s="8"/>
      <c r="N24" s="10"/>
      <c r="O24" s="7"/>
      <c r="P24" s="30"/>
      <c r="Q24" s="5"/>
      <c r="R24" s="34"/>
      <c r="S24" s="49"/>
      <c r="T24" s="49"/>
      <c r="U24" s="50"/>
      <c r="V24" s="8"/>
      <c r="W24" s="8">
        <f t="shared" si="3"/>
        <v>0</v>
      </c>
      <c r="X24" s="8"/>
      <c r="Y24" s="8"/>
    </row>
    <row r="25" spans="1:25" x14ac:dyDescent="0.25">
      <c r="A25" s="10"/>
      <c r="B25" s="7"/>
      <c r="C25" s="30"/>
      <c r="D25" s="5"/>
      <c r="E25" s="34" t="s">
        <v>71</v>
      </c>
      <c r="F25" s="7" t="s">
        <v>84</v>
      </c>
      <c r="G25" s="49"/>
      <c r="H25" s="50">
        <f>168.57+161.77</f>
        <v>330.34000000000003</v>
      </c>
      <c r="I25" s="8"/>
      <c r="J25" s="8">
        <f t="shared" si="0"/>
        <v>330.34000000000003</v>
      </c>
      <c r="K25" s="8"/>
      <c r="L25" s="8"/>
      <c r="N25" s="10"/>
      <c r="O25" s="7"/>
      <c r="P25" s="3"/>
      <c r="Q25" s="12"/>
      <c r="R25" s="34"/>
      <c r="S25" s="50"/>
      <c r="T25" s="50"/>
      <c r="U25" s="50"/>
      <c r="V25" s="8"/>
      <c r="Y25" s="8"/>
    </row>
    <row r="26" spans="1:25" x14ac:dyDescent="0.25">
      <c r="A26" s="10"/>
      <c r="B26" s="7"/>
      <c r="C26" s="30"/>
      <c r="D26" s="5"/>
      <c r="E26" s="34"/>
      <c r="F26" s="49"/>
      <c r="G26" s="49"/>
      <c r="H26" s="50"/>
      <c r="I26" s="8"/>
      <c r="J26" s="8">
        <f t="shared" ref="J26" si="4">H26-I26</f>
        <v>0</v>
      </c>
      <c r="K26" s="8"/>
      <c r="L26" s="8"/>
      <c r="N26" s="10"/>
      <c r="O26" s="7"/>
      <c r="P26" s="3"/>
      <c r="Q26" s="12"/>
      <c r="R26" s="34"/>
      <c r="S26" s="50"/>
      <c r="T26" s="50"/>
      <c r="U26" s="50"/>
      <c r="V26" s="8"/>
      <c r="Y26" s="8"/>
    </row>
    <row r="27" spans="1:25" x14ac:dyDescent="0.25">
      <c r="A27" s="10"/>
      <c r="B27" s="7"/>
      <c r="C27" s="3"/>
      <c r="D27" s="12"/>
      <c r="E27" s="34"/>
      <c r="F27" s="50"/>
      <c r="G27" s="50"/>
      <c r="H27" s="50"/>
      <c r="I27" s="8"/>
      <c r="L27" s="8"/>
    </row>
    <row r="28" spans="1:25" x14ac:dyDescent="0.25">
      <c r="A28" s="10"/>
      <c r="B28" s="7"/>
      <c r="C28" s="3"/>
      <c r="D28" s="12"/>
      <c r="E28" s="34"/>
      <c r="F28" s="50"/>
      <c r="G28" s="50"/>
      <c r="H28" s="50"/>
      <c r="I28" s="8"/>
      <c r="L28" s="8"/>
      <c r="W28" s="9">
        <f>W4+W5+W6+W7+W8+W9+W10+W11+W12+W13+W14</f>
        <v>5459.91</v>
      </c>
    </row>
    <row r="29" spans="1:25" x14ac:dyDescent="0.25">
      <c r="J29" s="9">
        <f>J4+J5+J6+J7+J8+J9+J10+J11+J12+J13+J14+J16+J17</f>
        <v>25411.994999999999</v>
      </c>
    </row>
    <row r="31" spans="1:25" ht="33.75" customHeight="1" x14ac:dyDescent="0.25">
      <c r="A31" s="4" t="s">
        <v>85</v>
      </c>
      <c r="B31" s="4"/>
      <c r="N31" s="4" t="s">
        <v>85</v>
      </c>
      <c r="O31" s="4"/>
    </row>
    <row r="32" spans="1:25" x14ac:dyDescent="0.25">
      <c r="E32" s="1" t="s">
        <v>86</v>
      </c>
      <c r="F32" s="1">
        <v>746.17</v>
      </c>
      <c r="R32" s="1" t="s">
        <v>86</v>
      </c>
      <c r="S32" s="1">
        <v>280.95999999999998</v>
      </c>
    </row>
    <row r="33" spans="5:19" x14ac:dyDescent="0.25">
      <c r="E33" s="1" t="s">
        <v>87</v>
      </c>
      <c r="F33" s="1">
        <f>2849+306+53+729+826+853.61+1178.63+144+405+526.5+448.8+350.5+31.7+28.5+118.19+225.4</f>
        <v>9073.83</v>
      </c>
      <c r="R33" s="1" t="s">
        <v>87</v>
      </c>
      <c r="S33" s="1">
        <f>5.2+88.03+538.01+163+347.3+616.8</f>
        <v>1758.34</v>
      </c>
    </row>
    <row r="34" spans="5:19" x14ac:dyDescent="0.25">
      <c r="E34" s="1" t="s">
        <v>88</v>
      </c>
      <c r="F34" s="1">
        <f>414.9+104.3+53+52+105+218.8+94+131+225.4+99.3+42+96.6+68+94+84.3+75.9+295.1+188.5+86.7+194.5+178.2+47.2+700.2+79+78.9</f>
        <v>3806.7999999999997</v>
      </c>
      <c r="R34" s="1" t="s">
        <v>88</v>
      </c>
      <c r="S34" s="1">
        <f>171.2+144.1+31.1+525+57</f>
        <v>928.4</v>
      </c>
    </row>
    <row r="36" spans="5:19" x14ac:dyDescent="0.25">
      <c r="F36" s="1">
        <v>12869</v>
      </c>
    </row>
    <row r="37" spans="5:19" x14ac:dyDescent="0.25">
      <c r="S37" s="1">
        <f>S33+S34+F33+F34</f>
        <v>15567.369999999999</v>
      </c>
    </row>
    <row r="38" spans="5:19" x14ac:dyDescent="0.25">
      <c r="S38" s="1">
        <f>15440.25</f>
        <v>15440.25</v>
      </c>
    </row>
    <row r="39" spans="5:19" x14ac:dyDescent="0.25">
      <c r="S39" s="1">
        <f>S38-S37</f>
        <v>-127.11999999999898</v>
      </c>
    </row>
    <row r="83" spans="4:4" x14ac:dyDescent="0.25">
      <c r="D83" s="1">
        <f>SUM(D84:D92)</f>
        <v>0</v>
      </c>
    </row>
    <row r="437" spans="1:14" x14ac:dyDescent="0.25">
      <c r="N437" s="13" t="s">
        <v>16</v>
      </c>
    </row>
    <row r="438" spans="1:14" x14ac:dyDescent="0.25">
      <c r="A438" s="13" t="s">
        <v>16</v>
      </c>
    </row>
  </sheetData>
  <pageMargins left="0.7" right="0.7" top="0.75" bottom="0.75" header="0.3" footer="0.3"/>
  <pageSetup paperSize="9" orientation="portrait" r:id="rId1"/>
  <tableParts count="2">
    <tablePart r:id="rId2"/>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T86"/>
  <sheetViews>
    <sheetView zoomScale="70" zoomScaleNormal="70" workbookViewId="0">
      <selection activeCell="F2" sqref="F2"/>
    </sheetView>
  </sheetViews>
  <sheetFormatPr defaultColWidth="9.140625" defaultRowHeight="15" x14ac:dyDescent="0.25"/>
  <cols>
    <col min="1" max="1" width="29.140625" style="11" customWidth="1"/>
    <col min="2" max="2" width="28.5703125" style="11" customWidth="1"/>
    <col min="3" max="6" width="9.140625" style="11"/>
    <col min="7" max="7" width="10.7109375" style="11" customWidth="1"/>
    <col min="8" max="8" width="9.140625" style="11"/>
    <col min="9" max="9" width="13.85546875" style="11" customWidth="1"/>
    <col min="10" max="10" width="8.28515625" style="11" customWidth="1"/>
    <col min="11" max="16384" width="9.140625" style="11"/>
  </cols>
  <sheetData>
    <row r="1" spans="1:306" ht="30.75" thickBot="1" x14ac:dyDescent="0.3">
      <c r="A1" s="15" t="s">
        <v>1</v>
      </c>
      <c r="B1" s="16" t="s">
        <v>9</v>
      </c>
      <c r="C1" s="16" t="s">
        <v>10</v>
      </c>
      <c r="D1" s="17" t="s">
        <v>11</v>
      </c>
      <c r="E1" s="16" t="s">
        <v>12</v>
      </c>
      <c r="F1" s="18" t="s">
        <v>13</v>
      </c>
      <c r="G1" s="19" t="s">
        <v>19</v>
      </c>
      <c r="H1" s="20" t="s">
        <v>14</v>
      </c>
      <c r="I1" s="21" t="s">
        <v>15</v>
      </c>
      <c r="L1" s="58" t="s">
        <v>17</v>
      </c>
      <c r="M1" s="58"/>
      <c r="N1" s="58"/>
      <c r="O1" s="58"/>
      <c r="P1" s="58"/>
      <c r="Q1" s="58"/>
      <c r="R1" s="58"/>
      <c r="S1" s="58"/>
      <c r="T1" s="58"/>
      <c r="U1" s="58"/>
      <c r="V1" s="58"/>
      <c r="W1" s="58"/>
      <c r="X1" s="58"/>
      <c r="Y1" s="58"/>
      <c r="Z1" s="58"/>
      <c r="AA1" s="58"/>
      <c r="AB1" s="58"/>
      <c r="AC1" s="58"/>
      <c r="AD1" s="58"/>
      <c r="AE1" s="58"/>
      <c r="AF1" s="58"/>
      <c r="AG1" s="58"/>
      <c r="AH1" s="58"/>
      <c r="AI1" s="58"/>
      <c r="AJ1" s="58"/>
      <c r="AK1" s="58"/>
      <c r="AL1" s="58"/>
      <c r="AM1" s="58"/>
      <c r="AN1" s="58"/>
      <c r="AO1" s="58"/>
      <c r="AP1" s="58"/>
      <c r="AQ1" s="58"/>
      <c r="AR1" s="58"/>
      <c r="AS1" s="58"/>
      <c r="AT1" s="58"/>
      <c r="AU1" s="58"/>
      <c r="AV1" s="58"/>
      <c r="AW1" s="58"/>
      <c r="AX1" s="58"/>
      <c r="AY1" s="58"/>
      <c r="AZ1" s="58"/>
      <c r="BA1" s="58"/>
      <c r="BB1" s="58"/>
      <c r="BC1" s="58"/>
      <c r="BD1" s="58"/>
      <c r="BE1" s="58"/>
      <c r="BF1" s="58"/>
      <c r="BG1" s="58"/>
      <c r="BH1" s="58"/>
      <c r="BI1" s="58"/>
      <c r="BJ1" s="58"/>
      <c r="BK1" s="58"/>
      <c r="BL1" s="58"/>
      <c r="BM1" s="58"/>
      <c r="BN1" s="58"/>
      <c r="BO1" s="58"/>
      <c r="BP1" s="58"/>
      <c r="BQ1" s="58"/>
      <c r="BR1" s="58"/>
      <c r="BS1" s="58"/>
      <c r="BT1" s="58"/>
      <c r="BU1" s="58"/>
      <c r="BV1" s="58"/>
      <c r="BW1" s="58"/>
      <c r="BX1" s="58"/>
      <c r="BY1" s="58"/>
      <c r="BZ1" s="58"/>
      <c r="CA1" s="58"/>
      <c r="CB1" s="58"/>
      <c r="CC1" s="58"/>
      <c r="CD1" s="58"/>
      <c r="CE1" s="58"/>
      <c r="CF1" s="58"/>
      <c r="CG1" s="58"/>
      <c r="CH1" s="58"/>
      <c r="CI1" s="58"/>
      <c r="CJ1" s="58"/>
      <c r="CK1" s="58"/>
      <c r="CL1" s="58"/>
      <c r="CM1" s="58"/>
      <c r="CN1" s="58"/>
      <c r="CO1" s="58"/>
      <c r="CP1" s="58"/>
      <c r="CQ1" s="58"/>
      <c r="CR1" s="58"/>
      <c r="CS1" s="58"/>
      <c r="CT1" s="58"/>
      <c r="CU1" s="58"/>
      <c r="CV1" s="58"/>
      <c r="CW1" s="58"/>
      <c r="CX1" s="58"/>
      <c r="CY1" s="58"/>
      <c r="CZ1" s="58"/>
      <c r="DA1" s="58"/>
      <c r="DB1" s="58"/>
      <c r="DC1" s="58"/>
      <c r="DD1" s="58"/>
      <c r="DE1" s="58"/>
      <c r="DF1" s="58"/>
      <c r="DG1" s="58"/>
      <c r="DH1" s="58"/>
      <c r="DI1" s="58"/>
      <c r="DJ1" s="58"/>
      <c r="DK1" s="58"/>
      <c r="DL1" s="58"/>
      <c r="DM1" s="58"/>
      <c r="DN1" s="58"/>
      <c r="DO1" s="58"/>
      <c r="DP1" s="58"/>
      <c r="DQ1" s="58"/>
      <c r="DR1" s="58"/>
      <c r="DS1" s="58"/>
      <c r="DT1" s="58"/>
      <c r="DU1" s="58"/>
      <c r="DV1" s="58"/>
      <c r="DW1" s="58"/>
      <c r="DX1" s="58"/>
      <c r="DY1" s="58"/>
      <c r="DZ1" s="58"/>
      <c r="EA1" s="58"/>
      <c r="EB1" s="58"/>
      <c r="EC1" s="58"/>
      <c r="ED1" s="58"/>
      <c r="EE1" s="58"/>
      <c r="EF1" s="58"/>
      <c r="EG1" s="58"/>
      <c r="EH1" s="58"/>
      <c r="EI1" s="58"/>
      <c r="EJ1" s="58"/>
      <c r="EK1" s="58"/>
      <c r="EL1" s="58"/>
      <c r="EM1" s="58"/>
      <c r="EN1" s="58"/>
      <c r="EO1" s="58"/>
      <c r="EP1" s="58"/>
      <c r="EQ1" s="58"/>
      <c r="ER1" s="58"/>
      <c r="ES1" s="58"/>
      <c r="ET1" s="58"/>
      <c r="EU1" s="58"/>
      <c r="EV1" s="58"/>
      <c r="EW1" s="58"/>
      <c r="EX1" s="58"/>
      <c r="EY1" s="58"/>
      <c r="EZ1" s="58"/>
      <c r="FA1" s="58"/>
      <c r="FB1" s="58"/>
      <c r="FC1" s="58"/>
      <c r="FD1" s="58"/>
      <c r="FE1" s="58"/>
      <c r="FF1" s="58"/>
      <c r="FG1" s="58"/>
      <c r="FH1" s="58"/>
      <c r="FI1" s="58"/>
      <c r="FJ1" s="58"/>
      <c r="FK1" s="58"/>
      <c r="FL1" s="58"/>
      <c r="FM1" s="58"/>
      <c r="FN1" s="58"/>
      <c r="FO1" s="58"/>
      <c r="FP1" s="58"/>
      <c r="FQ1" s="58"/>
      <c r="FR1" s="58"/>
      <c r="FS1" s="58"/>
      <c r="FT1" s="58"/>
      <c r="FU1" s="58"/>
      <c r="FV1" s="58"/>
      <c r="FW1" s="58"/>
      <c r="FX1" s="58"/>
      <c r="FY1" s="58"/>
      <c r="FZ1" s="58"/>
      <c r="GA1" s="58"/>
      <c r="GB1" s="58"/>
      <c r="GC1" s="58"/>
      <c r="GD1" s="58"/>
      <c r="GE1" s="58"/>
      <c r="GF1" s="58"/>
      <c r="GG1" s="58"/>
      <c r="GH1" s="58"/>
      <c r="GI1" s="58"/>
      <c r="GJ1" s="58"/>
      <c r="GK1" s="58"/>
      <c r="GL1" s="58"/>
      <c r="GM1" s="58"/>
      <c r="GN1" s="58"/>
      <c r="GO1" s="58"/>
      <c r="GP1" s="58"/>
      <c r="GQ1" s="58"/>
      <c r="GR1" s="58"/>
      <c r="GS1" s="58"/>
      <c r="GT1" s="58"/>
      <c r="GU1" s="58"/>
      <c r="GV1" s="58"/>
      <c r="GW1" s="58"/>
      <c r="GX1" s="58"/>
      <c r="GY1" s="58"/>
      <c r="GZ1" s="58"/>
      <c r="HA1" s="58"/>
      <c r="HB1" s="58"/>
      <c r="HC1" s="58"/>
      <c r="HD1" s="58"/>
      <c r="HE1" s="58"/>
      <c r="HF1" s="58"/>
      <c r="HG1" s="58"/>
      <c r="HH1" s="58"/>
      <c r="HI1" s="58"/>
      <c r="HJ1" s="58"/>
      <c r="HK1" s="58"/>
      <c r="HL1" s="58"/>
      <c r="HM1" s="58"/>
      <c r="HN1" s="58"/>
    </row>
    <row r="2" spans="1:306" x14ac:dyDescent="0.25">
      <c r="A2" s="22" t="s">
        <v>21</v>
      </c>
      <c r="B2" s="23" t="s">
        <v>62</v>
      </c>
      <c r="C2" s="28">
        <f t="shared" ref="C2:C9" si="0">0.04+0.06+0.25+0.55</f>
        <v>0.9</v>
      </c>
      <c r="D2" s="36">
        <f>M47</f>
        <v>13.577857142857143</v>
      </c>
      <c r="E2" s="24">
        <f t="shared" ref="E2:E40" si="1">D2-C2</f>
        <v>12.677857142857142</v>
      </c>
      <c r="F2" s="24">
        <f>Q23</f>
        <v>14.260106382978728</v>
      </c>
      <c r="G2" s="24">
        <f t="shared" ref="G2:G9" si="2">E2-F2</f>
        <v>-1.5822492401215857</v>
      </c>
      <c r="H2" s="23">
        <f>544.19</f>
        <v>544.19000000000005</v>
      </c>
      <c r="I2" s="25">
        <f>H2*G2</f>
        <v>-861.04421398176578</v>
      </c>
      <c r="L2" s="37" t="s">
        <v>21</v>
      </c>
      <c r="M2" s="38"/>
      <c r="N2" s="38"/>
      <c r="O2" s="38"/>
      <c r="P2" s="38"/>
      <c r="Q2" s="39"/>
      <c r="S2" s="37" t="s">
        <v>21</v>
      </c>
      <c r="T2" s="38"/>
      <c r="U2" s="38"/>
      <c r="V2" s="38"/>
      <c r="W2" s="38"/>
      <c r="X2" s="68"/>
      <c r="Y2" s="68"/>
      <c r="Z2" s="38"/>
      <c r="AA2" s="38"/>
      <c r="AB2" s="38"/>
      <c r="AC2" s="38"/>
      <c r="AD2" s="38"/>
      <c r="AE2" s="38"/>
      <c r="AF2" s="38"/>
      <c r="AG2" s="38"/>
      <c r="AH2" s="39"/>
      <c r="AJ2" s="37" t="s">
        <v>21</v>
      </c>
      <c r="AK2" s="38"/>
      <c r="AL2" s="38"/>
      <c r="AM2" s="38"/>
      <c r="AN2" s="38"/>
      <c r="AO2" s="38"/>
      <c r="AP2" s="38"/>
      <c r="AQ2" s="39"/>
      <c r="AS2" s="37" t="s">
        <v>21</v>
      </c>
      <c r="AT2" s="38"/>
      <c r="AU2" s="38"/>
      <c r="AV2" s="38"/>
      <c r="AW2" s="38"/>
      <c r="AX2" s="38"/>
      <c r="AY2" s="38"/>
      <c r="AZ2" s="38"/>
      <c r="BA2" s="38"/>
      <c r="BB2" s="39"/>
      <c r="BD2" s="37" t="s">
        <v>21</v>
      </c>
      <c r="BE2" s="38"/>
      <c r="BF2" s="38"/>
      <c r="BG2" s="38"/>
      <c r="BH2" s="38"/>
      <c r="BI2" s="39"/>
      <c r="BK2" s="37" t="s">
        <v>21</v>
      </c>
      <c r="BL2" s="38"/>
      <c r="BM2" s="38"/>
      <c r="BN2" s="38"/>
      <c r="BO2" s="38"/>
      <c r="BP2" s="38"/>
      <c r="BQ2" s="38"/>
      <c r="BR2" s="38"/>
      <c r="BS2" s="38"/>
      <c r="BT2" s="38"/>
      <c r="BU2" s="38"/>
      <c r="BV2" s="38"/>
      <c r="BW2" s="39"/>
      <c r="BY2" s="37" t="s">
        <v>21</v>
      </c>
      <c r="BZ2" s="38"/>
      <c r="CA2" s="38"/>
      <c r="CB2" s="38"/>
      <c r="CC2" s="39"/>
      <c r="CE2" s="37" t="s">
        <v>21</v>
      </c>
      <c r="CF2" s="38"/>
      <c r="CG2" s="38"/>
      <c r="CH2" s="39"/>
      <c r="CJ2" s="37" t="s">
        <v>22</v>
      </c>
      <c r="CK2" s="38"/>
      <c r="CL2" s="38"/>
      <c r="CM2" s="38"/>
      <c r="CN2" s="38"/>
      <c r="CO2" s="39"/>
      <c r="CQ2" s="37" t="s">
        <v>22</v>
      </c>
      <c r="CR2" s="38"/>
      <c r="CS2" s="38"/>
      <c r="CT2" s="39"/>
      <c r="CV2" s="37" t="s">
        <v>22</v>
      </c>
      <c r="CW2" s="39"/>
      <c r="CY2" s="37" t="s">
        <v>22</v>
      </c>
      <c r="CZ2" s="38"/>
      <c r="DA2" s="38"/>
      <c r="DB2" s="39"/>
      <c r="DD2" s="37" t="s">
        <v>22</v>
      </c>
      <c r="DE2" s="38"/>
      <c r="DF2" s="38"/>
      <c r="DG2" s="38"/>
      <c r="DH2" s="39"/>
      <c r="DJ2" s="37" t="s">
        <v>22</v>
      </c>
      <c r="DK2" s="38"/>
      <c r="DL2" s="38"/>
      <c r="DM2" s="39"/>
      <c r="DO2" s="37" t="s">
        <v>22</v>
      </c>
      <c r="DP2" s="38"/>
      <c r="DQ2" s="38"/>
      <c r="DR2" s="38"/>
      <c r="DS2" s="38"/>
      <c r="DT2" s="39"/>
      <c r="DV2" s="37" t="s">
        <v>22</v>
      </c>
      <c r="DW2" s="38"/>
      <c r="DX2" s="38"/>
      <c r="DY2" s="39"/>
      <c r="EA2" s="37" t="s">
        <v>22</v>
      </c>
      <c r="EB2" s="38"/>
      <c r="EC2" s="38"/>
      <c r="ED2" s="38"/>
      <c r="EE2" s="38"/>
      <c r="EF2" s="39"/>
      <c r="EH2" s="37" t="s">
        <v>35</v>
      </c>
      <c r="EI2" s="38"/>
      <c r="EJ2" s="39"/>
      <c r="EL2" s="37" t="s">
        <v>35</v>
      </c>
      <c r="EM2" s="38"/>
      <c r="EN2" s="39"/>
      <c r="EV2" s="37" t="s">
        <v>24</v>
      </c>
      <c r="EW2" s="39"/>
      <c r="EY2" s="37" t="s">
        <v>24</v>
      </c>
      <c r="EZ2" s="39"/>
      <c r="FA2" s="46"/>
      <c r="FB2" s="37" t="s">
        <v>24</v>
      </c>
      <c r="FC2" s="39"/>
      <c r="FD2" s="46"/>
      <c r="FE2" s="37" t="s">
        <v>25</v>
      </c>
      <c r="FF2" s="38"/>
      <c r="FG2" s="39"/>
      <c r="FI2" s="37" t="s">
        <v>25</v>
      </c>
      <c r="FJ2" s="38"/>
      <c r="FK2" s="39"/>
      <c r="FM2" s="37" t="s">
        <v>20</v>
      </c>
      <c r="FN2" s="38"/>
      <c r="FO2" s="38"/>
      <c r="FP2" s="38"/>
      <c r="FQ2" s="38"/>
      <c r="FR2" s="38"/>
      <c r="FS2" s="39"/>
      <c r="GC2" s="37" t="s">
        <v>27</v>
      </c>
      <c r="GD2" s="38"/>
      <c r="GE2" s="38"/>
      <c r="GF2" s="39"/>
      <c r="GH2" s="37" t="s">
        <v>27</v>
      </c>
      <c r="GI2" s="39"/>
      <c r="GK2" s="37" t="s">
        <v>27</v>
      </c>
      <c r="GL2" s="38"/>
      <c r="GM2" s="39"/>
      <c r="GO2" s="37" t="s">
        <v>27</v>
      </c>
      <c r="GP2" s="38"/>
      <c r="GQ2" s="39"/>
      <c r="GS2" s="37" t="s">
        <v>8</v>
      </c>
      <c r="GT2" s="38"/>
      <c r="GU2" s="38"/>
      <c r="GV2" s="39"/>
      <c r="GX2" s="37" t="s">
        <v>8</v>
      </c>
      <c r="GY2" s="38"/>
      <c r="GZ2" s="38"/>
      <c r="HA2" s="39"/>
      <c r="HC2" s="37" t="s">
        <v>8</v>
      </c>
      <c r="HD2" s="38"/>
      <c r="HE2" s="39"/>
      <c r="HG2" s="37" t="s">
        <v>8</v>
      </c>
      <c r="HH2" s="38"/>
      <c r="HI2" s="38"/>
      <c r="HJ2" s="38"/>
      <c r="HK2" s="38"/>
      <c r="HL2" s="39"/>
      <c r="HN2" s="37" t="s">
        <v>8</v>
      </c>
      <c r="HO2" s="38"/>
      <c r="HP2" s="38"/>
      <c r="HQ2" s="38"/>
      <c r="HR2" s="39"/>
      <c r="HT2" s="37" t="s">
        <v>8</v>
      </c>
      <c r="HU2" s="38"/>
      <c r="HV2" s="38"/>
      <c r="HW2" s="38"/>
      <c r="HX2" s="39"/>
      <c r="HZ2" s="37" t="s">
        <v>8</v>
      </c>
      <c r="IA2" s="38"/>
      <c r="IB2" s="38"/>
      <c r="IC2" s="39"/>
      <c r="IE2" s="37" t="s">
        <v>8</v>
      </c>
      <c r="IF2" s="38"/>
      <c r="IG2" s="39"/>
      <c r="II2" s="37" t="s">
        <v>8</v>
      </c>
      <c r="IJ2" s="38"/>
      <c r="IK2" s="38"/>
      <c r="IL2" s="38"/>
      <c r="IM2" s="39"/>
      <c r="IO2" s="37" t="s">
        <v>8</v>
      </c>
      <c r="IP2" s="38"/>
      <c r="IQ2" s="38"/>
      <c r="IR2" s="38"/>
      <c r="IS2" s="39"/>
      <c r="IU2" s="37" t="s">
        <v>8</v>
      </c>
      <c r="IV2" s="38"/>
      <c r="IW2" s="38"/>
      <c r="IX2" s="39"/>
      <c r="IZ2" s="37" t="s">
        <v>8</v>
      </c>
      <c r="JA2" s="38"/>
      <c r="JB2" s="38"/>
      <c r="JC2" s="39"/>
      <c r="JE2" s="37" t="s">
        <v>8</v>
      </c>
      <c r="JF2" s="38"/>
      <c r="JG2" s="39"/>
      <c r="JI2" s="37" t="s">
        <v>8</v>
      </c>
      <c r="JJ2" s="38"/>
      <c r="JK2" s="38"/>
      <c r="JL2" s="39"/>
      <c r="JN2" s="37" t="s">
        <v>8</v>
      </c>
      <c r="JO2" s="38"/>
      <c r="JP2" s="38"/>
      <c r="JQ2" s="39"/>
      <c r="JS2" s="37" t="s">
        <v>78</v>
      </c>
      <c r="JT2" s="38"/>
      <c r="JU2" s="38"/>
      <c r="JV2" s="39"/>
      <c r="KA2" s="37" t="s">
        <v>78</v>
      </c>
      <c r="KB2" s="38"/>
      <c r="KC2" s="38"/>
      <c r="KD2" s="39"/>
      <c r="KI2" s="37" t="s">
        <v>49</v>
      </c>
      <c r="KJ2" s="38"/>
      <c r="KK2" s="38"/>
      <c r="KL2" s="39"/>
      <c r="KN2" s="37" t="s">
        <v>49</v>
      </c>
      <c r="KO2" s="38"/>
      <c r="KP2" s="38"/>
      <c r="KQ2" s="38"/>
      <c r="KR2" s="38"/>
      <c r="KS2" s="38"/>
      <c r="KT2" s="39"/>
    </row>
    <row r="3" spans="1:306" x14ac:dyDescent="0.25">
      <c r="A3" s="22"/>
      <c r="B3" s="23" t="s">
        <v>62</v>
      </c>
      <c r="C3" s="28">
        <f t="shared" si="0"/>
        <v>0.9</v>
      </c>
      <c r="D3" s="36">
        <f>V47</f>
        <v>13.494499999999995</v>
      </c>
      <c r="E3" s="24">
        <f t="shared" si="1"/>
        <v>12.594499999999995</v>
      </c>
      <c r="F3" s="24">
        <f>AH23</f>
        <v>13.712793103448281</v>
      </c>
      <c r="G3" s="24">
        <f t="shared" si="2"/>
        <v>-1.1182931034482859</v>
      </c>
      <c r="H3" s="23">
        <v>2442.81</v>
      </c>
      <c r="I3" s="25">
        <f>H3*G3</f>
        <v>-2731.7775760345071</v>
      </c>
      <c r="L3" s="40"/>
      <c r="M3" s="41">
        <v>14.23</v>
      </c>
      <c r="N3" s="41">
        <v>14.43</v>
      </c>
      <c r="O3" s="41">
        <v>14.39</v>
      </c>
      <c r="P3" s="41">
        <v>14.33</v>
      </c>
      <c r="Q3" s="42">
        <v>14.15</v>
      </c>
      <c r="S3" s="40"/>
      <c r="T3" s="41">
        <v>14.9</v>
      </c>
      <c r="U3" s="41">
        <v>13.98</v>
      </c>
      <c r="V3" s="41">
        <v>13.78</v>
      </c>
      <c r="W3" s="41">
        <v>13.91</v>
      </c>
      <c r="X3" s="69">
        <v>13.71</v>
      </c>
      <c r="Y3" s="69">
        <v>13.38</v>
      </c>
      <c r="Z3" s="41">
        <v>13.41</v>
      </c>
      <c r="AA3" s="41">
        <v>13.67</v>
      </c>
      <c r="AB3" s="41">
        <v>13.76</v>
      </c>
      <c r="AC3" s="41">
        <v>13.45</v>
      </c>
      <c r="AD3" s="41">
        <v>13.39</v>
      </c>
      <c r="AE3" s="41">
        <v>13.25</v>
      </c>
      <c r="AF3" s="41">
        <v>13.28</v>
      </c>
      <c r="AG3" s="74">
        <v>13.66</v>
      </c>
      <c r="AH3" s="42">
        <v>13.73</v>
      </c>
      <c r="AJ3" s="40"/>
      <c r="AK3" s="41">
        <v>13.73</v>
      </c>
      <c r="AL3" s="41">
        <v>13.78</v>
      </c>
      <c r="AM3" s="41">
        <v>13.78</v>
      </c>
      <c r="AN3" s="41">
        <v>13.84</v>
      </c>
      <c r="AO3" s="41">
        <v>13.93</v>
      </c>
      <c r="AP3" s="41">
        <v>13.89</v>
      </c>
      <c r="AQ3" s="42">
        <v>13.78</v>
      </c>
      <c r="AS3" s="40"/>
      <c r="AT3" s="41">
        <v>13.86</v>
      </c>
      <c r="AU3" s="41">
        <v>13.93</v>
      </c>
      <c r="AV3" s="41">
        <v>14.19</v>
      </c>
      <c r="AW3" s="41">
        <v>14.07</v>
      </c>
      <c r="AX3" s="41">
        <v>14.09</v>
      </c>
      <c r="AY3" s="41">
        <v>14.27</v>
      </c>
      <c r="AZ3" s="41">
        <v>13.86</v>
      </c>
      <c r="BA3" s="41">
        <v>13.93</v>
      </c>
      <c r="BB3" s="42">
        <v>14</v>
      </c>
      <c r="BD3" s="40"/>
      <c r="BE3" s="41">
        <v>13.51</v>
      </c>
      <c r="BF3" s="41">
        <v>13.86</v>
      </c>
      <c r="BG3" s="41">
        <v>13.87</v>
      </c>
      <c r="BH3" s="41">
        <v>13.58</v>
      </c>
      <c r="BI3" s="42">
        <v>13.4</v>
      </c>
      <c r="BK3" s="40"/>
      <c r="BL3" s="41">
        <v>13.89</v>
      </c>
      <c r="BM3" s="41">
        <v>13.66</v>
      </c>
      <c r="BN3" s="41">
        <v>13.4</v>
      </c>
      <c r="BO3" s="41">
        <v>13.89</v>
      </c>
      <c r="BP3" s="41">
        <v>13.82</v>
      </c>
      <c r="BQ3" s="41">
        <v>13.9</v>
      </c>
      <c r="BR3" s="41">
        <v>13.84</v>
      </c>
      <c r="BS3" s="41">
        <v>13.67</v>
      </c>
      <c r="BT3" s="41">
        <v>13.66</v>
      </c>
      <c r="BU3" s="41">
        <v>13.48</v>
      </c>
      <c r="BV3" s="41">
        <v>13.72</v>
      </c>
      <c r="BW3" s="42">
        <v>13.78</v>
      </c>
      <c r="BY3" s="40"/>
      <c r="BZ3" s="41">
        <v>13.79</v>
      </c>
      <c r="CA3" s="41">
        <v>13.6</v>
      </c>
      <c r="CB3" s="41">
        <v>13.7</v>
      </c>
      <c r="CC3" s="42">
        <v>13.54</v>
      </c>
      <c r="CE3" s="40"/>
      <c r="CF3" s="41">
        <v>13.69</v>
      </c>
      <c r="CG3" s="41">
        <v>13.68</v>
      </c>
      <c r="CH3" s="42">
        <v>13.71</v>
      </c>
      <c r="CJ3" s="40"/>
      <c r="CK3" s="41">
        <v>13.84</v>
      </c>
      <c r="CL3" s="41">
        <v>13.89</v>
      </c>
      <c r="CM3" s="41">
        <v>14.13</v>
      </c>
      <c r="CN3" s="41">
        <v>13.86</v>
      </c>
      <c r="CO3" s="42">
        <v>13.94</v>
      </c>
      <c r="CQ3" s="40"/>
      <c r="CR3" s="41">
        <v>14.13</v>
      </c>
      <c r="CS3" s="41">
        <v>14.18</v>
      </c>
      <c r="CT3" s="42">
        <v>13.96</v>
      </c>
      <c r="CV3" s="40"/>
      <c r="CW3" s="42">
        <v>13.57</v>
      </c>
      <c r="CY3" s="40"/>
      <c r="CZ3" s="41">
        <v>13.73</v>
      </c>
      <c r="DA3" s="41">
        <v>13.62</v>
      </c>
      <c r="DB3" s="42">
        <v>13.21</v>
      </c>
      <c r="DD3" s="40"/>
      <c r="DE3" s="41">
        <v>13.77</v>
      </c>
      <c r="DF3" s="41">
        <v>13.3</v>
      </c>
      <c r="DG3" s="41">
        <v>13.63</v>
      </c>
      <c r="DH3" s="42">
        <v>13.53</v>
      </c>
      <c r="DJ3" s="40"/>
      <c r="DK3" s="41">
        <v>13.5</v>
      </c>
      <c r="DL3" s="41">
        <v>13.6</v>
      </c>
      <c r="DM3" s="42">
        <v>13.59</v>
      </c>
      <c r="DO3" s="40"/>
      <c r="DP3" s="41">
        <v>13.48</v>
      </c>
      <c r="DQ3" s="41">
        <v>13.29</v>
      </c>
      <c r="DR3" s="41">
        <v>13.62</v>
      </c>
      <c r="DS3" s="41">
        <v>13.66</v>
      </c>
      <c r="DT3" s="42">
        <v>13.65</v>
      </c>
      <c r="DV3" s="40"/>
      <c r="DW3" s="41">
        <v>13.75</v>
      </c>
      <c r="DX3" s="41">
        <v>13.52</v>
      </c>
      <c r="DY3" s="42">
        <v>13.3</v>
      </c>
      <c r="EA3" s="40"/>
      <c r="EB3" s="41">
        <v>13.43</v>
      </c>
      <c r="EC3" s="41">
        <v>13.53</v>
      </c>
      <c r="ED3" s="41">
        <v>13.37</v>
      </c>
      <c r="EE3" s="41">
        <v>13.38</v>
      </c>
      <c r="EF3" s="42">
        <v>13.62</v>
      </c>
      <c r="EH3" s="40"/>
      <c r="EI3" s="41">
        <v>13.75</v>
      </c>
      <c r="EJ3" s="42">
        <v>13.22</v>
      </c>
      <c r="EL3" s="40"/>
      <c r="EM3" s="41">
        <v>13.35</v>
      </c>
      <c r="EN3" s="42">
        <v>13.31</v>
      </c>
      <c r="EV3" s="40"/>
      <c r="EW3" s="42">
        <v>14.01</v>
      </c>
      <c r="EY3" s="40"/>
      <c r="EZ3" s="42">
        <v>13.95</v>
      </c>
      <c r="FA3" s="46"/>
      <c r="FB3" s="40"/>
      <c r="FC3" s="42">
        <v>13.69</v>
      </c>
      <c r="FD3" s="46"/>
      <c r="FE3" s="40"/>
      <c r="FF3" s="41">
        <v>13.79</v>
      </c>
      <c r="FG3" s="42">
        <v>13.79</v>
      </c>
      <c r="FI3" s="40"/>
      <c r="FJ3" s="41">
        <v>13.64</v>
      </c>
      <c r="FK3" s="42">
        <v>13.56</v>
      </c>
      <c r="FM3" s="40"/>
      <c r="FN3" s="41">
        <v>13.63</v>
      </c>
      <c r="FO3" s="41">
        <v>13.68</v>
      </c>
      <c r="FP3" s="41">
        <v>13.35</v>
      </c>
      <c r="FQ3" s="41">
        <v>13.48</v>
      </c>
      <c r="FR3" s="41">
        <v>13.48</v>
      </c>
      <c r="FS3" s="42">
        <v>13.65</v>
      </c>
      <c r="GC3" s="40"/>
      <c r="GD3" s="41">
        <v>14.01</v>
      </c>
      <c r="GE3" s="41">
        <v>13.92</v>
      </c>
      <c r="GF3" s="42">
        <v>13.74</v>
      </c>
      <c r="GH3" s="40"/>
      <c r="GI3" s="42">
        <v>13.3</v>
      </c>
      <c r="GK3" s="40"/>
      <c r="GL3" s="41">
        <v>13.35</v>
      </c>
      <c r="GM3" s="42">
        <v>13.63</v>
      </c>
      <c r="GO3" s="40"/>
      <c r="GP3" s="41">
        <v>13.35</v>
      </c>
      <c r="GQ3" s="42">
        <v>13.69</v>
      </c>
      <c r="GS3" s="40"/>
      <c r="GT3" s="41">
        <v>13.85</v>
      </c>
      <c r="GU3" s="41">
        <v>13.96</v>
      </c>
      <c r="GV3" s="42">
        <v>14</v>
      </c>
      <c r="GX3" s="40"/>
      <c r="GY3" s="41">
        <v>14.21</v>
      </c>
      <c r="GZ3" s="41">
        <v>14.41</v>
      </c>
      <c r="HA3" s="42">
        <v>14.14</v>
      </c>
      <c r="HC3" s="40"/>
      <c r="HD3" s="41">
        <v>13.62</v>
      </c>
      <c r="HE3" s="42">
        <v>14.15</v>
      </c>
      <c r="HG3" s="40"/>
      <c r="HH3" s="41">
        <v>13.8</v>
      </c>
      <c r="HI3" s="41">
        <v>13.65</v>
      </c>
      <c r="HJ3" s="41">
        <v>13.41</v>
      </c>
      <c r="HK3" s="41">
        <v>13.85</v>
      </c>
      <c r="HL3" s="42">
        <v>13.77</v>
      </c>
      <c r="HN3" s="40"/>
      <c r="HO3" s="41">
        <v>13.66</v>
      </c>
      <c r="HP3" s="41">
        <v>13.65</v>
      </c>
      <c r="HQ3" s="41">
        <v>13.74</v>
      </c>
      <c r="HR3" s="42">
        <v>13.77</v>
      </c>
      <c r="HT3" s="40"/>
      <c r="HU3" s="41">
        <v>13.59</v>
      </c>
      <c r="HV3" s="41">
        <v>13.66</v>
      </c>
      <c r="HW3" s="41">
        <v>13.36</v>
      </c>
      <c r="HX3" s="42">
        <v>13.38</v>
      </c>
      <c r="HZ3" s="40"/>
      <c r="IA3" s="41">
        <v>13.66</v>
      </c>
      <c r="IB3" s="41">
        <v>13.48</v>
      </c>
      <c r="IC3" s="42">
        <v>13.07</v>
      </c>
      <c r="IE3" s="40"/>
      <c r="IF3" s="41">
        <v>13.84</v>
      </c>
      <c r="IG3" s="42">
        <v>13.93</v>
      </c>
      <c r="II3" s="40"/>
      <c r="IJ3" s="41">
        <v>13.84</v>
      </c>
      <c r="IK3" s="41">
        <v>13.73</v>
      </c>
      <c r="IL3" s="41">
        <v>13.71</v>
      </c>
      <c r="IM3" s="42">
        <v>13.65</v>
      </c>
      <c r="IO3" s="40"/>
      <c r="IP3" s="41">
        <v>13.23</v>
      </c>
      <c r="IQ3" s="41">
        <v>13.18</v>
      </c>
      <c r="IR3" s="41">
        <v>13.25</v>
      </c>
      <c r="IS3" s="42">
        <v>13.33</v>
      </c>
      <c r="IU3" s="40"/>
      <c r="IV3" s="41">
        <v>13.53</v>
      </c>
      <c r="IW3" s="41">
        <v>13.36</v>
      </c>
      <c r="IX3" s="42">
        <v>13.37</v>
      </c>
      <c r="IZ3" s="40"/>
      <c r="JA3" s="41">
        <v>13.54</v>
      </c>
      <c r="JB3" s="41">
        <v>13.06</v>
      </c>
      <c r="JC3" s="42">
        <v>13.46</v>
      </c>
      <c r="JE3" s="40"/>
      <c r="JF3" s="41">
        <v>13.58</v>
      </c>
      <c r="JG3" s="42">
        <v>13.28</v>
      </c>
      <c r="JI3" s="40"/>
      <c r="JJ3" s="41">
        <v>13.75</v>
      </c>
      <c r="JK3" s="41">
        <v>13.8</v>
      </c>
      <c r="JL3" s="42">
        <v>13.67</v>
      </c>
      <c r="JN3" s="40"/>
      <c r="JO3" s="41">
        <v>13.91</v>
      </c>
      <c r="JP3" s="41">
        <v>13.93</v>
      </c>
      <c r="JQ3" s="42">
        <v>13.92</v>
      </c>
      <c r="JS3" s="40"/>
      <c r="JT3" s="41">
        <v>14.02</v>
      </c>
      <c r="JU3" s="41">
        <v>13.89</v>
      </c>
      <c r="JV3" s="42">
        <v>13.88</v>
      </c>
      <c r="KA3" s="40"/>
      <c r="KB3" s="41">
        <v>13.66</v>
      </c>
      <c r="KC3" s="41">
        <v>13.72</v>
      </c>
      <c r="KD3" s="42">
        <v>13.67</v>
      </c>
      <c r="KI3" s="40"/>
      <c r="KJ3" s="41">
        <v>14.28</v>
      </c>
      <c r="KK3" s="41">
        <v>13.44</v>
      </c>
      <c r="KL3" s="42">
        <v>13.25</v>
      </c>
      <c r="KN3" s="40"/>
      <c r="KO3" s="41">
        <v>13.53</v>
      </c>
      <c r="KP3" s="41">
        <v>13.46</v>
      </c>
      <c r="KQ3" s="41">
        <v>13.3</v>
      </c>
      <c r="KR3" s="41">
        <v>13.27</v>
      </c>
      <c r="KS3" s="41">
        <v>13.32</v>
      </c>
      <c r="KT3" s="42">
        <v>13.5</v>
      </c>
    </row>
    <row r="4" spans="1:306" x14ac:dyDescent="0.25">
      <c r="A4" s="22"/>
      <c r="B4" s="23" t="s">
        <v>62</v>
      </c>
      <c r="C4" s="28">
        <f t="shared" si="0"/>
        <v>0.9</v>
      </c>
      <c r="D4" s="36">
        <f>AL47</f>
        <v>13.563333333333333</v>
      </c>
      <c r="E4" s="24">
        <f t="shared" si="1"/>
        <v>12.663333333333332</v>
      </c>
      <c r="F4" s="36">
        <f>AQ23</f>
        <v>13.785600000000001</v>
      </c>
      <c r="G4" s="24">
        <f t="shared" si="2"/>
        <v>-1.1222666666666683</v>
      </c>
      <c r="H4" s="23">
        <v>1024.79</v>
      </c>
      <c r="I4" s="25">
        <f t="shared" ref="I4:I14" si="3">H4*G4</f>
        <v>-1150.0876573333351</v>
      </c>
      <c r="L4" s="40"/>
      <c r="M4" s="41">
        <v>14.18</v>
      </c>
      <c r="N4" s="41">
        <v>13.98</v>
      </c>
      <c r="O4" s="41">
        <v>14.37</v>
      </c>
      <c r="P4" s="41">
        <v>14.3</v>
      </c>
      <c r="Q4" s="42">
        <v>13.98</v>
      </c>
      <c r="S4" s="40"/>
      <c r="T4" s="41">
        <v>14.1</v>
      </c>
      <c r="U4" s="41">
        <v>14.01</v>
      </c>
      <c r="V4" s="41">
        <v>13.96</v>
      </c>
      <c r="W4" s="41">
        <v>13.7</v>
      </c>
      <c r="X4" s="69">
        <v>13.54</v>
      </c>
      <c r="Y4" s="69">
        <v>13.47</v>
      </c>
      <c r="Z4" s="41">
        <v>13.5</v>
      </c>
      <c r="AA4" s="41">
        <v>13.88</v>
      </c>
      <c r="AB4" s="41">
        <v>13.76</v>
      </c>
      <c r="AC4" s="41">
        <v>13.47</v>
      </c>
      <c r="AD4" s="41">
        <v>13.48</v>
      </c>
      <c r="AE4" s="41">
        <v>13.53</v>
      </c>
      <c r="AF4" s="41">
        <v>13.29</v>
      </c>
      <c r="AG4" s="74">
        <v>13.75</v>
      </c>
      <c r="AH4" s="42">
        <v>13.73</v>
      </c>
      <c r="AJ4" s="40"/>
      <c r="AK4" s="41">
        <v>13.74</v>
      </c>
      <c r="AL4" s="41">
        <v>13.82</v>
      </c>
      <c r="AM4" s="41">
        <v>13.8</v>
      </c>
      <c r="AN4" s="41">
        <v>13.86</v>
      </c>
      <c r="AO4" s="41">
        <v>13.58</v>
      </c>
      <c r="AP4" s="41">
        <v>13.93</v>
      </c>
      <c r="AQ4" s="42">
        <v>13.86</v>
      </c>
      <c r="AS4" s="40"/>
      <c r="AT4" s="41">
        <v>13.86</v>
      </c>
      <c r="AU4" s="41">
        <v>13.93</v>
      </c>
      <c r="AV4" s="41">
        <v>14.06</v>
      </c>
      <c r="AW4" s="41">
        <v>14.09</v>
      </c>
      <c r="AX4" s="41">
        <v>14.14</v>
      </c>
      <c r="AY4" s="41">
        <v>14.04</v>
      </c>
      <c r="AZ4" s="41">
        <v>14.1</v>
      </c>
      <c r="BA4" s="41">
        <v>14.18</v>
      </c>
      <c r="BB4" s="42">
        <v>14.2</v>
      </c>
      <c r="BD4" s="40"/>
      <c r="BE4" s="41">
        <v>13.86</v>
      </c>
      <c r="BF4" s="41">
        <v>13.87</v>
      </c>
      <c r="BG4" s="41">
        <v>13.93</v>
      </c>
      <c r="BH4" s="41">
        <v>13.78</v>
      </c>
      <c r="BI4" s="42">
        <v>13.52</v>
      </c>
      <c r="BK4" s="40"/>
      <c r="BL4" s="41">
        <v>13.88</v>
      </c>
      <c r="BM4" s="41">
        <v>13.74</v>
      </c>
      <c r="BN4" s="41">
        <v>13.97</v>
      </c>
      <c r="BO4" s="41">
        <v>13.9</v>
      </c>
      <c r="BP4" s="41">
        <v>13.87</v>
      </c>
      <c r="BQ4" s="41">
        <v>13.9</v>
      </c>
      <c r="BR4" s="41">
        <v>13.85</v>
      </c>
      <c r="BS4" s="41">
        <v>13.68</v>
      </c>
      <c r="BT4" s="41">
        <v>13.64</v>
      </c>
      <c r="BU4" s="41">
        <v>13.66</v>
      </c>
      <c r="BV4" s="41">
        <v>13.72</v>
      </c>
      <c r="BW4" s="42">
        <v>13.79</v>
      </c>
      <c r="BY4" s="40"/>
      <c r="BZ4" s="41">
        <v>13.63</v>
      </c>
      <c r="CA4" s="41">
        <v>13.39</v>
      </c>
      <c r="CB4" s="41">
        <v>13.48</v>
      </c>
      <c r="CC4" s="42">
        <v>13.7</v>
      </c>
      <c r="CE4" s="40"/>
      <c r="CF4" s="41">
        <v>13.69</v>
      </c>
      <c r="CG4" s="41">
        <v>13.7</v>
      </c>
      <c r="CH4" s="42">
        <v>13.72</v>
      </c>
      <c r="CJ4" s="40"/>
      <c r="CK4" s="41">
        <v>13.59</v>
      </c>
      <c r="CL4" s="41">
        <v>13.45</v>
      </c>
      <c r="CM4" s="41">
        <v>13.96</v>
      </c>
      <c r="CN4" s="41">
        <v>13.78</v>
      </c>
      <c r="CO4" s="42">
        <v>13.88</v>
      </c>
      <c r="CQ4" s="40"/>
      <c r="CR4" s="41">
        <v>14.09</v>
      </c>
      <c r="CS4" s="41">
        <v>14.15</v>
      </c>
      <c r="CT4" s="42">
        <v>13.92</v>
      </c>
      <c r="CV4" s="40"/>
      <c r="CW4" s="42">
        <v>13.58</v>
      </c>
      <c r="CY4" s="40"/>
      <c r="CZ4" s="41">
        <v>13.73</v>
      </c>
      <c r="DA4" s="41">
        <v>13.53</v>
      </c>
      <c r="DB4" s="42">
        <v>13.12</v>
      </c>
      <c r="DD4" s="40"/>
      <c r="DE4" s="41">
        <v>13.5</v>
      </c>
      <c r="DF4" s="41">
        <v>13.39</v>
      </c>
      <c r="DG4" s="41">
        <v>13.5</v>
      </c>
      <c r="DH4" s="42">
        <v>13.36</v>
      </c>
      <c r="DJ4" s="40"/>
      <c r="DK4" s="41">
        <v>13.78</v>
      </c>
      <c r="DL4" s="41">
        <v>13.39</v>
      </c>
      <c r="DM4" s="42">
        <v>13.41</v>
      </c>
      <c r="DO4" s="40"/>
      <c r="DP4" s="41">
        <v>13.48</v>
      </c>
      <c r="DQ4" s="41">
        <v>13.48</v>
      </c>
      <c r="DR4" s="41">
        <v>13.52</v>
      </c>
      <c r="DS4" s="41">
        <v>13.67</v>
      </c>
      <c r="DT4" s="42">
        <v>13.72</v>
      </c>
      <c r="DV4" s="40"/>
      <c r="DW4" s="41">
        <v>13.68</v>
      </c>
      <c r="DX4" s="41">
        <v>13.44</v>
      </c>
      <c r="DY4" s="42">
        <v>13.3</v>
      </c>
      <c r="EA4" s="40"/>
      <c r="EB4" s="41">
        <v>13.23</v>
      </c>
      <c r="EC4" s="41">
        <v>13.53</v>
      </c>
      <c r="ED4" s="41">
        <v>13.63</v>
      </c>
      <c r="EE4" s="41">
        <v>13.38</v>
      </c>
      <c r="EF4" s="42">
        <v>13.35</v>
      </c>
      <c r="EH4" s="40"/>
      <c r="EI4" s="41">
        <v>14.13</v>
      </c>
      <c r="EJ4" s="42">
        <v>13.53</v>
      </c>
      <c r="EL4" s="40"/>
      <c r="EM4" s="41">
        <v>13.38</v>
      </c>
      <c r="EN4" s="42">
        <v>13.44</v>
      </c>
      <c r="EV4" s="40"/>
      <c r="EW4" s="42">
        <v>14.05</v>
      </c>
      <c r="EY4" s="40"/>
      <c r="EZ4" s="42">
        <v>13.95</v>
      </c>
      <c r="FA4" s="46"/>
      <c r="FB4" s="40"/>
      <c r="FC4" s="42">
        <v>13.72</v>
      </c>
      <c r="FD4" s="46"/>
      <c r="FE4" s="40"/>
      <c r="FF4" s="41">
        <v>13.78</v>
      </c>
      <c r="FG4" s="42">
        <v>13.88</v>
      </c>
      <c r="FI4" s="40"/>
      <c r="FJ4" s="41">
        <v>13.62</v>
      </c>
      <c r="FK4" s="42">
        <v>13.57</v>
      </c>
      <c r="FM4" s="40"/>
      <c r="FN4" s="41">
        <v>13.66</v>
      </c>
      <c r="FO4" s="41">
        <v>13.7</v>
      </c>
      <c r="FP4" s="41">
        <v>13.47</v>
      </c>
      <c r="FQ4" s="41">
        <v>13.65</v>
      </c>
      <c r="FR4" s="41">
        <v>13.55</v>
      </c>
      <c r="FS4" s="42">
        <v>14.1</v>
      </c>
      <c r="GC4" s="40"/>
      <c r="GD4" s="41">
        <v>14.01</v>
      </c>
      <c r="GE4" s="41">
        <v>13.93</v>
      </c>
      <c r="GF4" s="42">
        <v>13.74</v>
      </c>
      <c r="GH4" s="40"/>
      <c r="GI4" s="42">
        <v>13.3</v>
      </c>
      <c r="GK4" s="40"/>
      <c r="GL4" s="41">
        <v>13.35</v>
      </c>
      <c r="GM4" s="42">
        <v>13.63</v>
      </c>
      <c r="GO4" s="40"/>
      <c r="GP4" s="41">
        <v>13.35</v>
      </c>
      <c r="GQ4" s="42">
        <v>13.68</v>
      </c>
      <c r="GS4" s="40"/>
      <c r="GT4" s="41">
        <v>13.85</v>
      </c>
      <c r="GU4" s="41">
        <v>13.9</v>
      </c>
      <c r="GV4" s="42">
        <v>13.97</v>
      </c>
      <c r="GX4" s="40"/>
      <c r="GY4" s="41">
        <v>14.23</v>
      </c>
      <c r="GZ4" s="41">
        <v>14.42</v>
      </c>
      <c r="HA4" s="42">
        <v>14.12</v>
      </c>
      <c r="HC4" s="40"/>
      <c r="HD4" s="41">
        <v>14.29</v>
      </c>
      <c r="HE4" s="42">
        <v>14.34</v>
      </c>
      <c r="HG4" s="40"/>
      <c r="HH4" s="41">
        <v>13.79</v>
      </c>
      <c r="HI4" s="41">
        <v>13.74</v>
      </c>
      <c r="HJ4" s="41">
        <v>13.51</v>
      </c>
      <c r="HK4" s="41">
        <v>13.86</v>
      </c>
      <c r="HL4" s="42">
        <v>13.87</v>
      </c>
      <c r="HN4" s="40"/>
      <c r="HO4" s="41">
        <v>13.66</v>
      </c>
      <c r="HP4" s="41">
        <v>13.67</v>
      </c>
      <c r="HQ4" s="41">
        <v>13.64</v>
      </c>
      <c r="HR4" s="42">
        <v>13.8</v>
      </c>
      <c r="HT4" s="40"/>
      <c r="HU4" s="41">
        <v>13.59</v>
      </c>
      <c r="HV4" s="41">
        <v>13.25</v>
      </c>
      <c r="HW4" s="41">
        <v>13.32</v>
      </c>
      <c r="HX4" s="42">
        <v>13.46</v>
      </c>
      <c r="HZ4" s="40"/>
      <c r="IA4" s="41">
        <v>13.63</v>
      </c>
      <c r="IB4" s="41">
        <v>13.54</v>
      </c>
      <c r="IC4" s="42">
        <v>13.57</v>
      </c>
      <c r="IE4" s="40"/>
      <c r="IF4" s="41">
        <v>13.86</v>
      </c>
      <c r="IG4" s="42">
        <v>13.93</v>
      </c>
      <c r="II4" s="40"/>
      <c r="IJ4" s="41">
        <v>13.84</v>
      </c>
      <c r="IK4" s="41">
        <v>13.74</v>
      </c>
      <c r="IL4" s="41">
        <v>13.69</v>
      </c>
      <c r="IM4" s="42">
        <v>13.66</v>
      </c>
      <c r="IO4" s="40"/>
      <c r="IP4" s="41">
        <v>13.15</v>
      </c>
      <c r="IQ4" s="41">
        <v>13.15</v>
      </c>
      <c r="IR4" s="41">
        <v>13.18</v>
      </c>
      <c r="IS4" s="42">
        <v>13.3</v>
      </c>
      <c r="IU4" s="40"/>
      <c r="IV4" s="41">
        <v>13.36</v>
      </c>
      <c r="IW4" s="41">
        <v>13.42</v>
      </c>
      <c r="IX4" s="42">
        <v>13.38</v>
      </c>
      <c r="IZ4" s="40"/>
      <c r="JA4" s="41">
        <v>13.54</v>
      </c>
      <c r="JB4" s="41">
        <v>13.71</v>
      </c>
      <c r="JC4" s="42">
        <v>13.46</v>
      </c>
      <c r="JE4" s="40"/>
      <c r="JF4" s="41">
        <v>13.54</v>
      </c>
      <c r="JG4" s="42">
        <v>13.28</v>
      </c>
      <c r="JI4" s="40"/>
      <c r="JJ4" s="41">
        <v>13.76</v>
      </c>
      <c r="JK4" s="41">
        <v>13.8</v>
      </c>
      <c r="JL4" s="42">
        <v>13.67</v>
      </c>
      <c r="JN4" s="40"/>
      <c r="JO4" s="41">
        <v>13.9</v>
      </c>
      <c r="JP4" s="41">
        <v>13.92</v>
      </c>
      <c r="JQ4" s="42">
        <v>13.45</v>
      </c>
      <c r="JS4" s="40"/>
      <c r="JT4" s="41">
        <v>14.03</v>
      </c>
      <c r="JU4" s="41">
        <v>13.88</v>
      </c>
      <c r="JV4" s="42">
        <v>13.88</v>
      </c>
      <c r="KA4" s="40"/>
      <c r="KB4" s="41">
        <v>13.66</v>
      </c>
      <c r="KC4" s="41">
        <v>13.7</v>
      </c>
      <c r="KD4" s="42">
        <v>13.67</v>
      </c>
      <c r="KI4" s="40"/>
      <c r="KJ4" s="41">
        <v>14.06</v>
      </c>
      <c r="KK4" s="41">
        <v>13.31</v>
      </c>
      <c r="KL4" s="42">
        <v>13.29</v>
      </c>
      <c r="KN4" s="40"/>
      <c r="KO4" s="41">
        <v>13.36</v>
      </c>
      <c r="KP4" s="41">
        <v>13.36</v>
      </c>
      <c r="KQ4" s="41">
        <v>13.46</v>
      </c>
      <c r="KR4" s="41">
        <v>13.15</v>
      </c>
      <c r="KS4" s="41">
        <v>13.38</v>
      </c>
      <c r="KT4" s="42">
        <v>13.5</v>
      </c>
    </row>
    <row r="5" spans="1:306" x14ac:dyDescent="0.25">
      <c r="A5" s="22"/>
      <c r="B5" s="23" t="s">
        <v>62</v>
      </c>
      <c r="C5" s="28">
        <f t="shared" si="0"/>
        <v>0.9</v>
      </c>
      <c r="D5" s="36">
        <f>AU47</f>
        <v>13.605555555555556</v>
      </c>
      <c r="E5" s="24">
        <f t="shared" si="1"/>
        <v>12.705555555555556</v>
      </c>
      <c r="F5" s="24">
        <f>BB23</f>
        <v>13.994245810055867</v>
      </c>
      <c r="G5" s="24">
        <f t="shared" si="2"/>
        <v>-1.2886902545003114</v>
      </c>
      <c r="H5" s="23">
        <v>1438.42</v>
      </c>
      <c r="I5" s="25">
        <f>H5*G5</f>
        <v>-1853.6778358783381</v>
      </c>
      <c r="L5" s="40"/>
      <c r="M5" s="41">
        <v>14.13</v>
      </c>
      <c r="N5" s="41">
        <v>14.43</v>
      </c>
      <c r="O5" s="41">
        <v>14.06</v>
      </c>
      <c r="P5" s="41">
        <v>14.28</v>
      </c>
      <c r="Q5" s="42">
        <v>14.16</v>
      </c>
      <c r="S5" s="40"/>
      <c r="T5" s="41">
        <v>14.08</v>
      </c>
      <c r="U5" s="41">
        <v>14.01</v>
      </c>
      <c r="V5" s="41">
        <v>13.93</v>
      </c>
      <c r="W5" s="41">
        <v>13.5</v>
      </c>
      <c r="X5" s="69">
        <v>13.39</v>
      </c>
      <c r="Y5" s="69">
        <v>13.66</v>
      </c>
      <c r="Z5" s="41">
        <v>13.59</v>
      </c>
      <c r="AA5" s="41">
        <v>13.79</v>
      </c>
      <c r="AB5" s="41">
        <v>13.74</v>
      </c>
      <c r="AC5" s="41">
        <v>13.53</v>
      </c>
      <c r="AD5" s="41">
        <v>13.61</v>
      </c>
      <c r="AE5" s="41">
        <v>13.75</v>
      </c>
      <c r="AF5" s="41">
        <v>13.51</v>
      </c>
      <c r="AG5" s="74">
        <v>13.79</v>
      </c>
      <c r="AH5" s="42">
        <v>13.71</v>
      </c>
      <c r="AJ5" s="40"/>
      <c r="AK5" s="41">
        <v>13.73</v>
      </c>
      <c r="AL5" s="41">
        <v>13.77</v>
      </c>
      <c r="AM5" s="41">
        <v>13.59</v>
      </c>
      <c r="AN5" s="41">
        <v>13.82</v>
      </c>
      <c r="AO5" s="41">
        <v>13.92</v>
      </c>
      <c r="AP5" s="41">
        <v>13.93</v>
      </c>
      <c r="AQ5" s="42">
        <v>13.86</v>
      </c>
      <c r="AS5" s="40"/>
      <c r="AT5" s="41">
        <v>13.75</v>
      </c>
      <c r="AU5" s="41">
        <v>13.91</v>
      </c>
      <c r="AV5" s="41">
        <v>13.89</v>
      </c>
      <c r="AW5" s="41">
        <v>14.02</v>
      </c>
      <c r="AX5" s="41">
        <v>14.01</v>
      </c>
      <c r="AY5" s="41">
        <v>14.06</v>
      </c>
      <c r="AZ5" s="41">
        <v>14.09</v>
      </c>
      <c r="BA5" s="41">
        <v>14.12</v>
      </c>
      <c r="BB5" s="42">
        <v>14.21</v>
      </c>
      <c r="BD5" s="40"/>
      <c r="BE5" s="41">
        <v>13.89</v>
      </c>
      <c r="BF5" s="41">
        <v>13.56</v>
      </c>
      <c r="BG5" s="41">
        <v>13.97</v>
      </c>
      <c r="BH5" s="41">
        <v>13.93</v>
      </c>
      <c r="BI5" s="42">
        <v>13.89</v>
      </c>
      <c r="BK5" s="40"/>
      <c r="BL5" s="41">
        <v>13.88</v>
      </c>
      <c r="BM5" s="41">
        <v>13.92</v>
      </c>
      <c r="BN5" s="41">
        <v>13.96</v>
      </c>
      <c r="BO5" s="41">
        <v>13.73</v>
      </c>
      <c r="BP5" s="41">
        <v>13.87</v>
      </c>
      <c r="BQ5" s="41">
        <v>13.9</v>
      </c>
      <c r="BR5" s="41">
        <v>13.69</v>
      </c>
      <c r="BS5" s="41">
        <v>13.69</v>
      </c>
      <c r="BT5" s="41">
        <v>13.51</v>
      </c>
      <c r="BU5" s="41">
        <v>13.66</v>
      </c>
      <c r="BV5" s="41">
        <v>13.73</v>
      </c>
      <c r="BW5" s="42">
        <v>13.8</v>
      </c>
      <c r="BY5" s="40"/>
      <c r="BZ5" s="41">
        <v>13.75</v>
      </c>
      <c r="CA5" s="41">
        <v>13.48</v>
      </c>
      <c r="CB5" s="41">
        <v>13.29</v>
      </c>
      <c r="CC5" s="42">
        <v>13.74</v>
      </c>
      <c r="CE5" s="40"/>
      <c r="CF5" s="41">
        <v>13.72</v>
      </c>
      <c r="CG5" s="41">
        <v>13.72</v>
      </c>
      <c r="CH5" s="42">
        <v>13.6</v>
      </c>
      <c r="CJ5" s="40"/>
      <c r="CK5" s="41">
        <v>13.85</v>
      </c>
      <c r="CL5" s="41">
        <v>13.94</v>
      </c>
      <c r="CM5" s="41">
        <v>14.09</v>
      </c>
      <c r="CN5" s="41">
        <v>13.88</v>
      </c>
      <c r="CO5" s="42">
        <v>13.75</v>
      </c>
      <c r="CQ5" s="40"/>
      <c r="CR5" s="41">
        <v>14.29</v>
      </c>
      <c r="CS5" s="41">
        <v>14.34</v>
      </c>
      <c r="CT5" s="42">
        <v>13.91</v>
      </c>
      <c r="CV5" s="40"/>
      <c r="CW5" s="42">
        <v>13.27</v>
      </c>
      <c r="CY5" s="40"/>
      <c r="CZ5" s="41">
        <v>13.71</v>
      </c>
      <c r="DA5" s="41">
        <v>13.56</v>
      </c>
      <c r="DB5" s="42">
        <v>13.17</v>
      </c>
      <c r="DD5" s="40"/>
      <c r="DE5" s="41">
        <v>13.75</v>
      </c>
      <c r="DF5" s="41">
        <v>13.38</v>
      </c>
      <c r="DG5" s="41">
        <v>13.38</v>
      </c>
      <c r="DH5" s="42">
        <v>13.3</v>
      </c>
      <c r="DJ5" s="40"/>
      <c r="DK5" s="41">
        <v>13.65</v>
      </c>
      <c r="DL5" s="41">
        <v>13.49</v>
      </c>
      <c r="DM5" s="42">
        <v>13.58</v>
      </c>
      <c r="DO5" s="40"/>
      <c r="DP5" s="41">
        <v>13.48</v>
      </c>
      <c r="DQ5" s="41">
        <v>13.29</v>
      </c>
      <c r="DR5" s="41">
        <v>13.48</v>
      </c>
      <c r="DS5" s="41">
        <v>13.66</v>
      </c>
      <c r="DT5" s="42">
        <v>13.77</v>
      </c>
      <c r="DV5" s="40"/>
      <c r="DW5" s="41">
        <v>13.58</v>
      </c>
      <c r="DX5" s="41">
        <v>13.48</v>
      </c>
      <c r="DY5" s="42">
        <v>13.33</v>
      </c>
      <c r="EA5" s="40"/>
      <c r="EB5" s="41">
        <v>13.34</v>
      </c>
      <c r="EC5" s="41">
        <v>13.48</v>
      </c>
      <c r="ED5" s="41">
        <v>13.44</v>
      </c>
      <c r="EE5" s="41">
        <v>13.35</v>
      </c>
      <c r="EF5" s="42">
        <v>13.67</v>
      </c>
      <c r="EH5" s="40"/>
      <c r="EI5" s="41">
        <v>14</v>
      </c>
      <c r="EJ5" s="42">
        <v>13.42</v>
      </c>
      <c r="EL5" s="40"/>
      <c r="EM5" s="41">
        <v>13.36</v>
      </c>
      <c r="EN5" s="42"/>
      <c r="EV5" s="40"/>
      <c r="EW5" s="42">
        <v>14.03</v>
      </c>
      <c r="EY5" s="40"/>
      <c r="EZ5" s="42">
        <v>13.93</v>
      </c>
      <c r="FA5" s="46"/>
      <c r="FB5" s="40"/>
      <c r="FC5" s="42">
        <v>13.7</v>
      </c>
      <c r="FD5" s="46"/>
      <c r="FE5" s="40"/>
      <c r="FF5" s="41">
        <v>13.76</v>
      </c>
      <c r="FG5" s="42">
        <v>13.83</v>
      </c>
      <c r="FI5" s="40"/>
      <c r="FJ5" s="41">
        <v>13.59</v>
      </c>
      <c r="FK5" s="42">
        <v>13.58</v>
      </c>
      <c r="FM5" s="40"/>
      <c r="FN5" s="41">
        <v>13.59</v>
      </c>
      <c r="FO5" s="41">
        <v>13.66</v>
      </c>
      <c r="FP5" s="41">
        <v>13.33</v>
      </c>
      <c r="FQ5" s="41">
        <v>13.31</v>
      </c>
      <c r="FR5" s="41">
        <v>13.53</v>
      </c>
      <c r="FS5" s="42">
        <v>13.72</v>
      </c>
      <c r="GC5" s="40"/>
      <c r="GD5" s="41">
        <v>14.02</v>
      </c>
      <c r="GE5" s="41">
        <v>13.92</v>
      </c>
      <c r="GF5" s="42">
        <v>13.77</v>
      </c>
      <c r="GH5" s="40"/>
      <c r="GI5" s="42">
        <v>13.3</v>
      </c>
      <c r="GK5" s="40"/>
      <c r="GL5" s="41">
        <v>13.72</v>
      </c>
      <c r="GM5" s="42">
        <v>13.6</v>
      </c>
      <c r="GO5" s="40"/>
      <c r="GP5" s="41">
        <v>13.66</v>
      </c>
      <c r="GQ5" s="42">
        <v>13.67</v>
      </c>
      <c r="GS5" s="40"/>
      <c r="GT5" s="41">
        <v>13.85</v>
      </c>
      <c r="GU5" s="41">
        <v>14.03</v>
      </c>
      <c r="GV5" s="42">
        <v>13.94</v>
      </c>
      <c r="GX5" s="40"/>
      <c r="GY5" s="41">
        <v>14.25</v>
      </c>
      <c r="GZ5" s="41">
        <v>14.4</v>
      </c>
      <c r="HA5" s="42">
        <v>14.1</v>
      </c>
      <c r="HC5" s="40"/>
      <c r="HD5" s="41">
        <v>14</v>
      </c>
      <c r="HE5" s="42">
        <v>14.2</v>
      </c>
      <c r="HG5" s="40"/>
      <c r="HH5" s="41">
        <v>13.79</v>
      </c>
      <c r="HI5" s="41">
        <v>13.83</v>
      </c>
      <c r="HJ5" s="41">
        <v>13.83</v>
      </c>
      <c r="HK5" s="41">
        <v>13.86</v>
      </c>
      <c r="HL5" s="42">
        <v>13.91</v>
      </c>
      <c r="HN5" s="40"/>
      <c r="HO5" s="41">
        <v>13.71</v>
      </c>
      <c r="HP5" s="41">
        <v>13.7</v>
      </c>
      <c r="HQ5" s="41">
        <v>13.65</v>
      </c>
      <c r="HR5" s="42">
        <v>13.74</v>
      </c>
      <c r="HT5" s="40"/>
      <c r="HU5" s="41">
        <v>13.57</v>
      </c>
      <c r="HV5" s="41">
        <v>13.54</v>
      </c>
      <c r="HW5" s="41">
        <v>13.49</v>
      </c>
      <c r="HX5" s="42">
        <v>13.43</v>
      </c>
      <c r="HZ5" s="40"/>
      <c r="IA5" s="41">
        <v>13.61</v>
      </c>
      <c r="IB5" s="41">
        <v>13.4</v>
      </c>
      <c r="IC5" s="42">
        <v>13.2</v>
      </c>
      <c r="IE5" s="40"/>
      <c r="IF5" s="41">
        <v>13.83</v>
      </c>
      <c r="IG5" s="42">
        <v>13.92</v>
      </c>
      <c r="II5" s="40"/>
      <c r="IJ5" s="41">
        <v>13.85</v>
      </c>
      <c r="IK5" s="41">
        <v>13.71</v>
      </c>
      <c r="IL5" s="41">
        <v>13.72</v>
      </c>
      <c r="IM5" s="42"/>
      <c r="IO5" s="40"/>
      <c r="IP5" s="41">
        <v>13.16</v>
      </c>
      <c r="IQ5" s="41">
        <v>13.1</v>
      </c>
      <c r="IR5" s="41">
        <v>13.17</v>
      </c>
      <c r="IS5" s="42">
        <v>13.32</v>
      </c>
      <c r="IU5" s="40"/>
      <c r="IV5" s="41">
        <v>13.02</v>
      </c>
      <c r="IW5" s="41">
        <v>13.33</v>
      </c>
      <c r="IX5" s="42"/>
      <c r="IZ5" s="40"/>
      <c r="JA5" s="41">
        <v>13.63</v>
      </c>
      <c r="JB5" s="41">
        <v>13.02</v>
      </c>
      <c r="JC5" s="42">
        <v>13.44</v>
      </c>
      <c r="JE5" s="40"/>
      <c r="JF5" s="41">
        <v>13.59</v>
      </c>
      <c r="JG5" s="42">
        <v>13.3</v>
      </c>
      <c r="JI5" s="40"/>
      <c r="JJ5" s="41">
        <v>13.76</v>
      </c>
      <c r="JK5" s="41">
        <v>13.8</v>
      </c>
      <c r="JL5" s="42">
        <v>13.66</v>
      </c>
      <c r="JN5" s="40"/>
      <c r="JO5" s="41">
        <v>13.87</v>
      </c>
      <c r="JP5" s="41">
        <v>13.91</v>
      </c>
      <c r="JQ5" s="42">
        <v>13.96</v>
      </c>
      <c r="JS5" s="40"/>
      <c r="JT5" s="41">
        <v>14.02</v>
      </c>
      <c r="JU5" s="41">
        <v>13.89</v>
      </c>
      <c r="JV5" s="42">
        <v>13.82</v>
      </c>
      <c r="KA5" s="40"/>
      <c r="KB5" s="41">
        <v>13.65</v>
      </c>
      <c r="KC5" s="41">
        <v>13.58</v>
      </c>
      <c r="KD5" s="42">
        <v>13.67</v>
      </c>
      <c r="KI5" s="40"/>
      <c r="KJ5" s="41">
        <v>13.98</v>
      </c>
      <c r="KK5" s="41">
        <v>13.29</v>
      </c>
      <c r="KL5" s="42">
        <v>13.01</v>
      </c>
      <c r="KN5" s="40"/>
      <c r="KO5" s="41">
        <v>13.02</v>
      </c>
      <c r="KP5" s="41">
        <v>13.34</v>
      </c>
      <c r="KQ5" s="41">
        <v>12.99</v>
      </c>
      <c r="KR5" s="41">
        <v>13.16</v>
      </c>
      <c r="KS5" s="41">
        <v>13.25</v>
      </c>
      <c r="KT5" s="42">
        <v>13.45</v>
      </c>
    </row>
    <row r="6" spans="1:306" ht="14.25" customHeight="1" x14ac:dyDescent="0.25">
      <c r="A6" s="22"/>
      <c r="B6" s="23" t="s">
        <v>62</v>
      </c>
      <c r="C6" s="28">
        <f t="shared" si="0"/>
        <v>0.9</v>
      </c>
      <c r="D6" s="36">
        <f>BE47</f>
        <v>13.538666666666666</v>
      </c>
      <c r="E6" s="24">
        <f t="shared" si="1"/>
        <v>12.638666666666666</v>
      </c>
      <c r="F6" s="36">
        <f>BI23</f>
        <v>13.773295454545456</v>
      </c>
      <c r="G6" s="24">
        <f t="shared" si="2"/>
        <v>-1.1346287878787908</v>
      </c>
      <c r="H6" s="23">
        <v>715.88</v>
      </c>
      <c r="I6" s="25">
        <f t="shared" ref="I6" si="4">H6*G6</f>
        <v>-812.25805666666884</v>
      </c>
      <c r="L6" s="40"/>
      <c r="M6" s="41">
        <v>14.2</v>
      </c>
      <c r="N6" s="41">
        <v>14.42</v>
      </c>
      <c r="O6" s="41">
        <v>14.38</v>
      </c>
      <c r="P6" s="41">
        <v>14.33</v>
      </c>
      <c r="Q6" s="42">
        <v>14.14</v>
      </c>
      <c r="S6" s="40"/>
      <c r="T6" s="41">
        <v>14.05</v>
      </c>
      <c r="U6" s="41">
        <v>13.98</v>
      </c>
      <c r="V6" s="41">
        <v>13.77</v>
      </c>
      <c r="W6" s="41">
        <v>13.41</v>
      </c>
      <c r="X6" s="69">
        <v>13.38</v>
      </c>
      <c r="Y6" s="69">
        <v>13.84</v>
      </c>
      <c r="Z6" s="41">
        <v>13.82</v>
      </c>
      <c r="AA6" s="41">
        <v>13.78</v>
      </c>
      <c r="AB6" s="41">
        <v>13.73</v>
      </c>
      <c r="AC6" s="41">
        <v>13.64</v>
      </c>
      <c r="AD6" s="41">
        <v>13.71</v>
      </c>
      <c r="AE6" s="41">
        <v>13.74</v>
      </c>
      <c r="AF6" s="41">
        <v>13.78</v>
      </c>
      <c r="AG6" s="41">
        <v>13.8</v>
      </c>
      <c r="AH6" s="42">
        <v>13.7</v>
      </c>
      <c r="AJ6" s="40"/>
      <c r="AK6" s="41">
        <v>13.69</v>
      </c>
      <c r="AL6" s="41">
        <v>13.65</v>
      </c>
      <c r="AM6" s="41">
        <v>13.43</v>
      </c>
      <c r="AN6" s="41">
        <v>13.72</v>
      </c>
      <c r="AO6" s="41">
        <v>13.94</v>
      </c>
      <c r="AP6" s="41">
        <v>13.94</v>
      </c>
      <c r="AQ6" s="42">
        <v>13.75</v>
      </c>
      <c r="AS6" s="40"/>
      <c r="AT6" s="41">
        <v>13.59</v>
      </c>
      <c r="AU6" s="41">
        <v>13.86</v>
      </c>
      <c r="AV6" s="41">
        <v>13.99</v>
      </c>
      <c r="AW6" s="41">
        <v>14.07</v>
      </c>
      <c r="AX6" s="41">
        <v>14.03</v>
      </c>
      <c r="AY6" s="41">
        <v>14.2</v>
      </c>
      <c r="AZ6" s="41">
        <v>14.03</v>
      </c>
      <c r="BA6" s="41">
        <v>13.93</v>
      </c>
      <c r="BB6" s="42">
        <v>14.18</v>
      </c>
      <c r="BD6" s="40"/>
      <c r="BE6" s="41">
        <v>13.87</v>
      </c>
      <c r="BF6" s="41">
        <v>13.71</v>
      </c>
      <c r="BG6" s="41">
        <v>13.97</v>
      </c>
      <c r="BH6" s="41">
        <v>13.93</v>
      </c>
      <c r="BI6" s="42">
        <v>13.9</v>
      </c>
      <c r="BK6" s="40"/>
      <c r="BL6" s="41">
        <v>13.86</v>
      </c>
      <c r="BM6" s="41">
        <v>13.92</v>
      </c>
      <c r="BN6" s="41">
        <v>13.94</v>
      </c>
      <c r="BO6" s="41">
        <v>13.68</v>
      </c>
      <c r="BP6" s="41">
        <v>13.53</v>
      </c>
      <c r="BQ6" s="41">
        <v>13.64</v>
      </c>
      <c r="BR6" s="41">
        <v>13.82</v>
      </c>
      <c r="BS6" s="41">
        <v>13.7</v>
      </c>
      <c r="BT6" s="41">
        <v>13.65</v>
      </c>
      <c r="BU6" s="41">
        <v>3.22</v>
      </c>
      <c r="BV6" s="41">
        <v>13.73</v>
      </c>
      <c r="BW6" s="42">
        <v>13.8</v>
      </c>
      <c r="BY6" s="40"/>
      <c r="BZ6" s="41">
        <v>13.69</v>
      </c>
      <c r="CA6" s="41">
        <v>13.6</v>
      </c>
      <c r="CB6" s="41">
        <v>13.69</v>
      </c>
      <c r="CC6" s="42">
        <v>13.78</v>
      </c>
      <c r="CE6" s="40"/>
      <c r="CF6" s="41">
        <v>13.74</v>
      </c>
      <c r="CG6" s="41">
        <v>13.74</v>
      </c>
      <c r="CH6" s="42">
        <v>13.66</v>
      </c>
      <c r="CJ6" s="40"/>
      <c r="CK6" s="41">
        <v>13.76</v>
      </c>
      <c r="CL6" s="41">
        <v>13.46</v>
      </c>
      <c r="CM6" s="41">
        <v>13.9</v>
      </c>
      <c r="CN6" s="41">
        <v>13.75</v>
      </c>
      <c r="CO6" s="42">
        <v>14.13</v>
      </c>
      <c r="CQ6" s="40"/>
      <c r="CR6" s="41">
        <v>14</v>
      </c>
      <c r="CS6" s="41">
        <v>14.32</v>
      </c>
      <c r="CT6" s="42">
        <v>13.94</v>
      </c>
      <c r="CV6" s="40"/>
      <c r="CW6" s="42">
        <v>13.37</v>
      </c>
      <c r="CY6" s="40"/>
      <c r="CZ6" s="41">
        <v>13.66</v>
      </c>
      <c r="DA6" s="41">
        <v>13.48</v>
      </c>
      <c r="DB6" s="42">
        <v>13.06</v>
      </c>
      <c r="DD6" s="40"/>
      <c r="DE6" s="41">
        <v>13.43</v>
      </c>
      <c r="DF6" s="41">
        <v>13.35</v>
      </c>
      <c r="DG6" s="41">
        <v>13.27</v>
      </c>
      <c r="DH6" s="42">
        <v>13.23</v>
      </c>
      <c r="DJ6" s="40"/>
      <c r="DK6" s="41">
        <v>13.5</v>
      </c>
      <c r="DL6" s="41">
        <v>13.55</v>
      </c>
      <c r="DM6" s="42">
        <v>13.37</v>
      </c>
      <c r="DO6" s="40"/>
      <c r="DP6" s="41">
        <v>13.43</v>
      </c>
      <c r="DQ6" s="41">
        <v>13.49</v>
      </c>
      <c r="DR6" s="41">
        <v>13.3</v>
      </c>
      <c r="DS6" s="41">
        <v>13.67</v>
      </c>
      <c r="DT6" s="42">
        <v>13.86</v>
      </c>
      <c r="DV6" s="40"/>
      <c r="DW6" s="41">
        <v>13.54</v>
      </c>
      <c r="DX6" s="41">
        <v>13.44</v>
      </c>
      <c r="DY6" s="42">
        <v>13.35</v>
      </c>
      <c r="EA6" s="40"/>
      <c r="EB6" s="41">
        <v>13.16</v>
      </c>
      <c r="EC6" s="41">
        <v>13.39</v>
      </c>
      <c r="ED6" s="41">
        <v>13.44</v>
      </c>
      <c r="EE6" s="41">
        <v>13.39</v>
      </c>
      <c r="EF6" s="42">
        <v>13.66</v>
      </c>
      <c r="EH6" s="40"/>
      <c r="EI6" s="41">
        <v>14</v>
      </c>
      <c r="EJ6" s="42">
        <v>13.54</v>
      </c>
      <c r="EL6" s="40"/>
      <c r="EM6" s="41">
        <v>13.32</v>
      </c>
      <c r="EN6" s="42"/>
      <c r="EV6" s="40"/>
      <c r="EW6" s="42">
        <v>14</v>
      </c>
      <c r="EY6" s="40"/>
      <c r="EZ6" s="42">
        <v>13.96</v>
      </c>
      <c r="FA6" s="46"/>
      <c r="FB6" s="40"/>
      <c r="FC6" s="42">
        <v>13.69</v>
      </c>
      <c r="FD6" s="46"/>
      <c r="FE6" s="40"/>
      <c r="FF6" s="41">
        <v>13.82</v>
      </c>
      <c r="FG6" s="42">
        <v>13.79</v>
      </c>
      <c r="FI6" s="40"/>
      <c r="FJ6" s="41">
        <v>13.57</v>
      </c>
      <c r="FK6" s="42">
        <v>13.56</v>
      </c>
      <c r="FM6" s="40"/>
      <c r="FN6" s="41">
        <v>13.71</v>
      </c>
      <c r="FO6" s="41">
        <v>13.73</v>
      </c>
      <c r="FP6" s="41">
        <v>13.45</v>
      </c>
      <c r="FQ6" s="41">
        <v>13.46</v>
      </c>
      <c r="FR6" s="41">
        <v>13.63</v>
      </c>
      <c r="FS6" s="42">
        <v>14.11</v>
      </c>
      <c r="GC6" s="40"/>
      <c r="GD6" s="41">
        <v>14.03</v>
      </c>
      <c r="GE6" s="41">
        <v>13.89</v>
      </c>
      <c r="GF6" s="42">
        <v>13.76</v>
      </c>
      <c r="GH6" s="40"/>
      <c r="GI6" s="42">
        <v>13.88</v>
      </c>
      <c r="GK6" s="40"/>
      <c r="GL6" s="41">
        <v>13.72</v>
      </c>
      <c r="GM6" s="42">
        <v>13.58</v>
      </c>
      <c r="GO6" s="40"/>
      <c r="GP6" s="41">
        <v>13.66</v>
      </c>
      <c r="GQ6" s="42">
        <v>13.67</v>
      </c>
      <c r="GS6" s="40"/>
      <c r="GT6" s="41">
        <v>13.88</v>
      </c>
      <c r="GU6" s="41">
        <v>13.99</v>
      </c>
      <c r="GV6" s="42">
        <v>13.88</v>
      </c>
      <c r="GX6" s="40"/>
      <c r="GY6" s="41">
        <v>14.2</v>
      </c>
      <c r="GZ6" s="41">
        <v>14.41</v>
      </c>
      <c r="HA6" s="42">
        <v>14.07</v>
      </c>
      <c r="HC6" s="40"/>
      <c r="HD6" s="41">
        <v>14</v>
      </c>
      <c r="HE6" s="42">
        <v>14.32</v>
      </c>
      <c r="HG6" s="40"/>
      <c r="HH6" s="41">
        <v>13.82</v>
      </c>
      <c r="HI6" s="41">
        <v>13.84</v>
      </c>
      <c r="HJ6" s="41">
        <v>13.83</v>
      </c>
      <c r="HK6" s="41">
        <v>13.88</v>
      </c>
      <c r="HL6" s="42">
        <v>13.86</v>
      </c>
      <c r="HN6" s="40"/>
      <c r="HO6" s="41">
        <v>13.77</v>
      </c>
      <c r="HP6" s="41">
        <v>13.67</v>
      </c>
      <c r="HQ6" s="41">
        <v>13.74</v>
      </c>
      <c r="HR6" s="42">
        <v>13.78</v>
      </c>
      <c r="HT6" s="40"/>
      <c r="HU6" s="41">
        <v>13.56</v>
      </c>
      <c r="HV6" s="41">
        <v>13.26</v>
      </c>
      <c r="HW6" s="41">
        <v>13.43</v>
      </c>
      <c r="HX6" s="42">
        <v>13.47</v>
      </c>
      <c r="HZ6" s="40"/>
      <c r="IA6" s="41">
        <v>13.6</v>
      </c>
      <c r="IB6" s="41">
        <v>13.53</v>
      </c>
      <c r="IC6" s="42">
        <v>13.57</v>
      </c>
      <c r="IE6" s="40"/>
      <c r="IF6" s="41">
        <v>13.84</v>
      </c>
      <c r="IG6" s="42">
        <v>13.92</v>
      </c>
      <c r="II6" s="40"/>
      <c r="IJ6" s="41">
        <v>13.86</v>
      </c>
      <c r="IK6" s="41">
        <v>13.71</v>
      </c>
      <c r="IL6" s="41">
        <v>13.69</v>
      </c>
      <c r="IM6" s="42"/>
      <c r="IO6" s="40"/>
      <c r="IP6" s="41">
        <v>13.13</v>
      </c>
      <c r="IQ6" s="41">
        <v>13.12</v>
      </c>
      <c r="IR6" s="41">
        <v>13.34</v>
      </c>
      <c r="IS6" s="42">
        <v>13.33</v>
      </c>
      <c r="IU6" s="40"/>
      <c r="IV6" s="41">
        <v>13.42</v>
      </c>
      <c r="IW6" s="41">
        <v>13.42</v>
      </c>
      <c r="IX6" s="42"/>
      <c r="IZ6" s="40"/>
      <c r="JA6" s="41">
        <v>13.74</v>
      </c>
      <c r="JB6" s="41">
        <v>13.66</v>
      </c>
      <c r="JC6" s="42">
        <v>13.35</v>
      </c>
      <c r="JE6" s="40"/>
      <c r="JF6" s="41">
        <v>13.64</v>
      </c>
      <c r="JG6" s="42">
        <v>13.3</v>
      </c>
      <c r="JI6" s="40"/>
      <c r="JJ6" s="41">
        <v>13.6</v>
      </c>
      <c r="JK6" s="41">
        <v>13.79</v>
      </c>
      <c r="JL6" s="42">
        <v>13.65</v>
      </c>
      <c r="JN6" s="40"/>
      <c r="JO6" s="41">
        <v>13.85</v>
      </c>
      <c r="JP6" s="41">
        <v>13.9</v>
      </c>
      <c r="JQ6" s="42">
        <v>13.44</v>
      </c>
      <c r="JS6" s="40"/>
      <c r="JT6" s="41">
        <v>14.03</v>
      </c>
      <c r="JU6" s="41">
        <v>13.91</v>
      </c>
      <c r="JV6" s="42">
        <v>13.78</v>
      </c>
      <c r="KA6" s="40"/>
      <c r="KB6" s="41">
        <v>13.56</v>
      </c>
      <c r="KC6" s="41">
        <v>13.62</v>
      </c>
      <c r="KD6" s="42">
        <v>13.72</v>
      </c>
      <c r="KI6" s="40"/>
      <c r="KJ6" s="41">
        <v>13.89</v>
      </c>
      <c r="KK6" s="41">
        <v>13.32</v>
      </c>
      <c r="KL6" s="42">
        <v>12.96</v>
      </c>
      <c r="KN6" s="40"/>
      <c r="KO6" s="41">
        <v>13.42</v>
      </c>
      <c r="KP6" s="41">
        <v>13.31</v>
      </c>
      <c r="KQ6" s="41">
        <v>13.02</v>
      </c>
      <c r="KR6" s="41">
        <v>13.16</v>
      </c>
      <c r="KS6" s="41">
        <v>13.18</v>
      </c>
      <c r="KT6" s="42"/>
    </row>
    <row r="7" spans="1:306" ht="14.25" customHeight="1" x14ac:dyDescent="0.25">
      <c r="A7" s="22"/>
      <c r="B7" s="23" t="s">
        <v>62</v>
      </c>
      <c r="C7" s="28">
        <f t="shared" si="0"/>
        <v>0.9</v>
      </c>
      <c r="D7" s="36">
        <f>BM47</f>
        <v>13.485250000000002</v>
      </c>
      <c r="E7" s="24">
        <f t="shared" si="1"/>
        <v>12.585250000000002</v>
      </c>
      <c r="F7" s="24">
        <f>BW23</f>
        <v>13.700131004366812</v>
      </c>
      <c r="G7" s="24">
        <f t="shared" si="2"/>
        <v>-1.1148810043668096</v>
      </c>
      <c r="H7" s="23">
        <v>1974.38</v>
      </c>
      <c r="I7" s="25">
        <f t="shared" si="3"/>
        <v>-2201.1987574017417</v>
      </c>
      <c r="L7" s="40"/>
      <c r="M7" s="41">
        <v>14.37</v>
      </c>
      <c r="N7" s="41">
        <v>14.21</v>
      </c>
      <c r="O7" s="41">
        <v>14.36</v>
      </c>
      <c r="P7" s="41">
        <v>14.28</v>
      </c>
      <c r="Q7" s="42">
        <v>14</v>
      </c>
      <c r="S7" s="40"/>
      <c r="T7" s="41">
        <v>14.01</v>
      </c>
      <c r="U7" s="41">
        <v>13.95</v>
      </c>
      <c r="V7" s="41">
        <v>13.96</v>
      </c>
      <c r="W7" s="41">
        <v>13.84</v>
      </c>
      <c r="X7" s="69">
        <v>13.52</v>
      </c>
      <c r="Y7" s="69">
        <v>13.84</v>
      </c>
      <c r="Z7" s="41">
        <v>13.8</v>
      </c>
      <c r="AA7" s="41">
        <v>13.78</v>
      </c>
      <c r="AB7" s="41">
        <v>13.51</v>
      </c>
      <c r="AC7" s="41">
        <v>13.74</v>
      </c>
      <c r="AD7" s="41">
        <v>13.74</v>
      </c>
      <c r="AE7" s="41">
        <v>13.75</v>
      </c>
      <c r="AF7" s="41">
        <v>13.8</v>
      </c>
      <c r="AG7" s="41">
        <v>13.8</v>
      </c>
      <c r="AH7" s="42">
        <v>13.72</v>
      </c>
      <c r="AJ7" s="40"/>
      <c r="AK7" s="41">
        <v>13.74</v>
      </c>
      <c r="AL7" s="41">
        <v>13.76</v>
      </c>
      <c r="AM7" s="41">
        <v>13.82</v>
      </c>
      <c r="AN7" s="41">
        <v>13.84</v>
      </c>
      <c r="AO7" s="41">
        <v>13.62</v>
      </c>
      <c r="AP7" s="41">
        <v>13.95</v>
      </c>
      <c r="AQ7" s="42">
        <v>13.59</v>
      </c>
      <c r="AS7" s="40"/>
      <c r="AT7" s="41">
        <v>13.88</v>
      </c>
      <c r="AU7" s="41">
        <v>13.92</v>
      </c>
      <c r="AV7" s="41">
        <v>14.15</v>
      </c>
      <c r="AW7" s="41">
        <v>14.13</v>
      </c>
      <c r="AX7" s="41">
        <v>14.08</v>
      </c>
      <c r="AY7" s="41">
        <v>14.26</v>
      </c>
      <c r="AZ7" s="41">
        <v>13.86</v>
      </c>
      <c r="BA7" s="41">
        <v>4.1399999999999997</v>
      </c>
      <c r="BB7" s="42">
        <v>14</v>
      </c>
      <c r="BD7" s="40"/>
      <c r="BE7" s="41">
        <v>13.56</v>
      </c>
      <c r="BF7" s="41">
        <v>13.86</v>
      </c>
      <c r="BG7" s="41">
        <v>13.81</v>
      </c>
      <c r="BH7" s="41">
        <v>13.54</v>
      </c>
      <c r="BI7" s="42">
        <v>13.42</v>
      </c>
      <c r="BK7" s="40"/>
      <c r="BL7" s="41">
        <v>13.84</v>
      </c>
      <c r="BM7" s="41">
        <v>13.48</v>
      </c>
      <c r="BN7" s="41">
        <v>13.4</v>
      </c>
      <c r="BO7" s="41">
        <v>13.87</v>
      </c>
      <c r="BP7" s="41">
        <v>13.84</v>
      </c>
      <c r="BQ7" s="41">
        <v>13.91</v>
      </c>
      <c r="BR7" s="41">
        <v>13.83</v>
      </c>
      <c r="BS7" s="41">
        <v>13.67</v>
      </c>
      <c r="BT7" s="41">
        <v>13.64</v>
      </c>
      <c r="BU7" s="41">
        <v>13.67</v>
      </c>
      <c r="BV7" s="41">
        <v>13.75</v>
      </c>
      <c r="BW7" s="42">
        <v>13.8</v>
      </c>
      <c r="BY7" s="40"/>
      <c r="BZ7" s="41">
        <v>13.76</v>
      </c>
      <c r="CA7" s="41">
        <v>13.37</v>
      </c>
      <c r="CB7" s="41">
        <v>13.72</v>
      </c>
      <c r="CC7" s="42">
        <v>13.62</v>
      </c>
      <c r="CE7" s="40"/>
      <c r="CF7" s="41">
        <v>13.73</v>
      </c>
      <c r="CG7" s="41">
        <v>13.76</v>
      </c>
      <c r="CH7" s="42">
        <v>13.68</v>
      </c>
      <c r="CJ7" s="40"/>
      <c r="CK7" s="41">
        <v>13.85</v>
      </c>
      <c r="CL7" s="41">
        <v>14.01</v>
      </c>
      <c r="CM7" s="41">
        <v>14.18</v>
      </c>
      <c r="CN7" s="41">
        <v>13.9</v>
      </c>
      <c r="CO7" s="42"/>
      <c r="CQ7" s="40"/>
      <c r="CR7" s="41">
        <v>14</v>
      </c>
      <c r="CS7" s="41">
        <v>14.33</v>
      </c>
      <c r="CT7" s="42"/>
      <c r="CV7" s="40"/>
      <c r="CW7" s="42">
        <v>13.26</v>
      </c>
      <c r="CY7" s="40"/>
      <c r="CZ7" s="41">
        <v>13.63</v>
      </c>
      <c r="DA7" s="41">
        <v>13.53</v>
      </c>
      <c r="DB7" s="42">
        <v>13.44</v>
      </c>
      <c r="DD7" s="40"/>
      <c r="DE7" s="41">
        <v>13.66</v>
      </c>
      <c r="DF7" s="41">
        <v>13.4</v>
      </c>
      <c r="DG7" s="41">
        <v>13.37</v>
      </c>
      <c r="DH7" s="42">
        <v>13.16</v>
      </c>
      <c r="DJ7" s="40"/>
      <c r="DK7" s="41">
        <v>13.56</v>
      </c>
      <c r="DL7" s="41">
        <v>13.6</v>
      </c>
      <c r="DM7" s="42">
        <v>13.54</v>
      </c>
      <c r="DO7" s="40"/>
      <c r="DP7" s="41">
        <v>13.41</v>
      </c>
      <c r="DQ7" s="41">
        <v>13.35</v>
      </c>
      <c r="DR7" s="41">
        <v>13.45</v>
      </c>
      <c r="DS7" s="41">
        <v>13.66</v>
      </c>
      <c r="DT7" s="42">
        <v>13.86</v>
      </c>
      <c r="DV7" s="40"/>
      <c r="DW7" s="41">
        <v>13.63</v>
      </c>
      <c r="DX7" s="41">
        <v>13.49</v>
      </c>
      <c r="DY7" s="42">
        <v>13.34</v>
      </c>
      <c r="EA7" s="40"/>
      <c r="EB7" s="41">
        <v>13.29</v>
      </c>
      <c r="EC7" s="41">
        <v>13.29</v>
      </c>
      <c r="ED7" s="41">
        <v>13.34</v>
      </c>
      <c r="EE7" s="41">
        <v>13.3</v>
      </c>
      <c r="EF7" s="42">
        <v>13.75</v>
      </c>
      <c r="EH7" s="40"/>
      <c r="EI7" s="41">
        <v>13.72</v>
      </c>
      <c r="EJ7" s="42">
        <v>13.53</v>
      </c>
      <c r="EL7" s="40"/>
      <c r="EM7" s="41">
        <v>13.5</v>
      </c>
      <c r="EN7" s="42"/>
      <c r="EV7" s="40"/>
      <c r="EW7" s="42">
        <v>14.02</v>
      </c>
      <c r="EY7" s="40"/>
      <c r="EZ7" s="42">
        <v>13.94</v>
      </c>
      <c r="FA7" s="46"/>
      <c r="FB7" s="40"/>
      <c r="FC7" s="42">
        <v>13.67</v>
      </c>
      <c r="FD7" s="46"/>
      <c r="FE7" s="40"/>
      <c r="FF7" s="41">
        <v>13.8</v>
      </c>
      <c r="FG7" s="42">
        <v>13.82</v>
      </c>
      <c r="FI7" s="40"/>
      <c r="FJ7" s="41">
        <v>13.64</v>
      </c>
      <c r="FK7" s="42">
        <v>13.61</v>
      </c>
      <c r="FM7" s="40"/>
      <c r="FN7" s="41">
        <v>13.56</v>
      </c>
      <c r="FO7" s="41">
        <v>13.54</v>
      </c>
      <c r="FP7" s="41">
        <v>13.36</v>
      </c>
      <c r="FQ7" s="41">
        <v>13.43</v>
      </c>
      <c r="FR7" s="41">
        <v>13.59</v>
      </c>
      <c r="FS7" s="42">
        <v>13.88</v>
      </c>
      <c r="GC7" s="40"/>
      <c r="GD7" s="41">
        <v>14.02</v>
      </c>
      <c r="GE7" s="41">
        <v>13.86</v>
      </c>
      <c r="GF7" s="42">
        <v>13.81</v>
      </c>
      <c r="GH7" s="40"/>
      <c r="GI7" s="42">
        <v>13.95</v>
      </c>
      <c r="GK7" s="40"/>
      <c r="GL7" s="41">
        <v>13.73</v>
      </c>
      <c r="GM7" s="42">
        <v>13.64</v>
      </c>
      <c r="GO7" s="40"/>
      <c r="GP7" s="41">
        <v>13.65</v>
      </c>
      <c r="GQ7" s="42"/>
      <c r="GS7" s="40"/>
      <c r="GT7" s="41">
        <v>13.9</v>
      </c>
      <c r="GU7" s="41">
        <v>13.94</v>
      </c>
      <c r="GV7" s="42">
        <v>13.75</v>
      </c>
      <c r="GX7" s="40"/>
      <c r="GY7" s="41">
        <v>14.27</v>
      </c>
      <c r="GZ7" s="41">
        <v>14.39</v>
      </c>
      <c r="HA7" s="42">
        <v>14.08</v>
      </c>
      <c r="HC7" s="40"/>
      <c r="HD7" s="41">
        <v>13.98</v>
      </c>
      <c r="HE7" s="42">
        <v>14.21</v>
      </c>
      <c r="HG7" s="40"/>
      <c r="HH7" s="41">
        <v>13.77</v>
      </c>
      <c r="HI7" s="41">
        <v>13.64</v>
      </c>
      <c r="HJ7" s="41">
        <v>13.55</v>
      </c>
      <c r="HK7" s="41">
        <v>13.89</v>
      </c>
      <c r="HL7" s="42">
        <v>13.85</v>
      </c>
      <c r="HN7" s="40"/>
      <c r="HO7" s="41">
        <v>13.7</v>
      </c>
      <c r="HP7" s="41">
        <v>13.73</v>
      </c>
      <c r="HQ7" s="41">
        <v>13.53</v>
      </c>
      <c r="HR7" s="42">
        <v>13.77</v>
      </c>
      <c r="HT7" s="40"/>
      <c r="HU7" s="41">
        <v>13.57</v>
      </c>
      <c r="HV7" s="41">
        <v>13.52</v>
      </c>
      <c r="HW7" s="41">
        <v>13.6</v>
      </c>
      <c r="HX7" s="42">
        <v>13.48</v>
      </c>
      <c r="HZ7" s="40"/>
      <c r="IA7" s="41">
        <v>13.61</v>
      </c>
      <c r="IB7" s="41">
        <v>13.48</v>
      </c>
      <c r="IC7" s="42">
        <v>13.35</v>
      </c>
      <c r="IE7" s="40"/>
      <c r="IF7" s="41">
        <v>13.82</v>
      </c>
      <c r="IG7" s="42">
        <v>13.92</v>
      </c>
      <c r="II7" s="40"/>
      <c r="IJ7" s="41">
        <v>13.86</v>
      </c>
      <c r="IK7" s="41">
        <v>13.73</v>
      </c>
      <c r="IL7" s="41">
        <v>13.65</v>
      </c>
      <c r="IM7" s="42"/>
      <c r="IO7" s="40"/>
      <c r="IP7" s="41">
        <v>13.16</v>
      </c>
      <c r="IQ7" s="41">
        <v>13.07</v>
      </c>
      <c r="IR7" s="41">
        <v>13.33</v>
      </c>
      <c r="IS7" s="42">
        <v>13.36</v>
      </c>
      <c r="IU7" s="40"/>
      <c r="IV7" s="41">
        <v>13.47</v>
      </c>
      <c r="IW7" s="41">
        <v>13.32</v>
      </c>
      <c r="IX7" s="42"/>
      <c r="IZ7" s="40"/>
      <c r="JA7" s="41">
        <v>13.86</v>
      </c>
      <c r="JB7" s="41">
        <v>12.99</v>
      </c>
      <c r="JC7" s="42">
        <v>13.29</v>
      </c>
      <c r="JE7" s="40"/>
      <c r="JF7" s="41">
        <v>13.63</v>
      </c>
      <c r="JG7" s="42">
        <v>13.33</v>
      </c>
      <c r="JI7" s="40"/>
      <c r="JJ7" s="41">
        <v>13.59</v>
      </c>
      <c r="JK7" s="41">
        <v>13.81</v>
      </c>
      <c r="JL7" s="42">
        <v>13.65</v>
      </c>
      <c r="JN7" s="40"/>
      <c r="JO7" s="41">
        <v>13.85</v>
      </c>
      <c r="JP7" s="41">
        <v>13.9</v>
      </c>
      <c r="JQ7" s="42">
        <v>13.97</v>
      </c>
      <c r="JS7" s="40"/>
      <c r="JT7" s="41">
        <v>14</v>
      </c>
      <c r="JU7" s="41">
        <v>13.93</v>
      </c>
      <c r="JV7" s="42">
        <v>13.79</v>
      </c>
      <c r="KA7" s="40"/>
      <c r="KB7" s="41">
        <v>13.57</v>
      </c>
      <c r="KC7" s="41">
        <v>13.6</v>
      </c>
      <c r="KD7" s="42">
        <v>13.72</v>
      </c>
      <c r="KI7" s="40"/>
      <c r="KJ7" s="41">
        <v>13.87</v>
      </c>
      <c r="KK7" s="41">
        <v>13.22</v>
      </c>
      <c r="KL7" s="42">
        <v>13.13</v>
      </c>
      <c r="KN7" s="40"/>
      <c r="KO7" s="41">
        <v>13.46</v>
      </c>
      <c r="KP7" s="41">
        <v>13.29</v>
      </c>
      <c r="KQ7" s="41">
        <v>13.06</v>
      </c>
      <c r="KR7" s="41">
        <v>13.18</v>
      </c>
      <c r="KS7" s="41">
        <v>13.17</v>
      </c>
      <c r="KT7" s="42"/>
    </row>
    <row r="8" spans="1:306" ht="14.25" customHeight="1" x14ac:dyDescent="0.25">
      <c r="A8" s="22"/>
      <c r="B8" s="23" t="s">
        <v>62</v>
      </c>
      <c r="C8" s="28">
        <f t="shared" si="0"/>
        <v>0.9</v>
      </c>
      <c r="D8" s="36">
        <f>BZ47</f>
        <v>13.464</v>
      </c>
      <c r="E8" s="24">
        <f t="shared" si="1"/>
        <v>12.564</v>
      </c>
      <c r="F8" s="24">
        <f>CC23</f>
        <v>13.58985507246377</v>
      </c>
      <c r="G8" s="24">
        <f t="shared" si="2"/>
        <v>-1.0258550724637701</v>
      </c>
      <c r="H8" s="23">
        <f>551.05</f>
        <v>551.04999999999995</v>
      </c>
      <c r="I8" s="25">
        <f t="shared" si="3"/>
        <v>-565.29743768116043</v>
      </c>
      <c r="L8" s="40"/>
      <c r="M8" s="41">
        <v>14.35</v>
      </c>
      <c r="N8" s="41">
        <v>14.43</v>
      </c>
      <c r="O8" s="41">
        <v>13.97</v>
      </c>
      <c r="P8" s="41">
        <v>14.26</v>
      </c>
      <c r="Q8" s="42">
        <v>14.14</v>
      </c>
      <c r="S8" s="40"/>
      <c r="T8" s="41">
        <v>14.04</v>
      </c>
      <c r="U8" s="41">
        <v>13.93</v>
      </c>
      <c r="V8" s="41">
        <v>13.93</v>
      </c>
      <c r="W8" s="41">
        <v>13.88</v>
      </c>
      <c r="X8" s="69">
        <v>13.7</v>
      </c>
      <c r="Y8" s="69">
        <v>13.84</v>
      </c>
      <c r="Z8" s="41">
        <v>13.79</v>
      </c>
      <c r="AA8" s="41">
        <v>13.77</v>
      </c>
      <c r="AB8" s="41">
        <v>13.38</v>
      </c>
      <c r="AC8" s="41">
        <v>13.74</v>
      </c>
      <c r="AD8" s="41">
        <v>13.75</v>
      </c>
      <c r="AE8" s="41">
        <v>13.77</v>
      </c>
      <c r="AF8" s="41">
        <v>13.8</v>
      </c>
      <c r="AG8" s="41">
        <v>13.75</v>
      </c>
      <c r="AH8" s="42">
        <v>13.7</v>
      </c>
      <c r="AJ8" s="40"/>
      <c r="AK8" s="41">
        <v>13.77</v>
      </c>
      <c r="AL8" s="41">
        <v>13.79</v>
      </c>
      <c r="AM8" s="41">
        <v>13.83</v>
      </c>
      <c r="AN8" s="41">
        <v>13.86</v>
      </c>
      <c r="AO8" s="41">
        <v>13.92</v>
      </c>
      <c r="AP8" s="41">
        <v>13.95</v>
      </c>
      <c r="AQ8" s="42"/>
      <c r="AS8" s="40"/>
      <c r="AT8" s="41">
        <v>13.88</v>
      </c>
      <c r="AU8" s="41">
        <v>13.97</v>
      </c>
      <c r="AV8" s="41">
        <v>14.06</v>
      </c>
      <c r="AW8" s="41">
        <v>14.1</v>
      </c>
      <c r="AX8" s="41">
        <v>14.13</v>
      </c>
      <c r="AY8" s="41">
        <v>14.05</v>
      </c>
      <c r="AZ8" s="41">
        <v>14.11</v>
      </c>
      <c r="BA8" s="41">
        <v>14.17</v>
      </c>
      <c r="BB8" s="42">
        <v>14.2</v>
      </c>
      <c r="BD8" s="40"/>
      <c r="BE8" s="41">
        <v>13.87</v>
      </c>
      <c r="BF8" s="41">
        <v>13.88</v>
      </c>
      <c r="BG8" s="41">
        <v>13.84</v>
      </c>
      <c r="BH8" s="41">
        <v>13.78</v>
      </c>
      <c r="BI8" s="42">
        <v>13.54</v>
      </c>
      <c r="BK8" s="40"/>
      <c r="BL8" s="41">
        <v>13.88</v>
      </c>
      <c r="BM8" s="41">
        <v>13.75</v>
      </c>
      <c r="BN8" s="41">
        <v>13.99</v>
      </c>
      <c r="BO8" s="41">
        <v>13.87</v>
      </c>
      <c r="BP8" s="41">
        <v>13.88</v>
      </c>
      <c r="BQ8" s="41">
        <v>13.91</v>
      </c>
      <c r="BR8" s="41">
        <v>13.72</v>
      </c>
      <c r="BS8" s="41">
        <v>13.69</v>
      </c>
      <c r="BT8" s="41">
        <v>13.4</v>
      </c>
      <c r="BU8" s="41">
        <v>13.67</v>
      </c>
      <c r="BV8" s="41">
        <v>13.75</v>
      </c>
      <c r="BW8" s="42">
        <v>13.79</v>
      </c>
      <c r="BY8" s="40"/>
      <c r="BZ8" s="41">
        <v>13.7</v>
      </c>
      <c r="CA8" s="41">
        <v>13.5</v>
      </c>
      <c r="CB8" s="41">
        <v>13.6</v>
      </c>
      <c r="CC8" s="42">
        <v>13.7</v>
      </c>
      <c r="CE8" s="40"/>
      <c r="CF8" s="41">
        <v>13.68</v>
      </c>
      <c r="CG8" s="41">
        <v>13.7</v>
      </c>
      <c r="CH8" s="42">
        <v>13.69</v>
      </c>
      <c r="CJ8" s="40"/>
      <c r="CK8" s="41">
        <v>13.85</v>
      </c>
      <c r="CL8" s="41">
        <v>13.48</v>
      </c>
      <c r="CM8" s="41">
        <v>14.03</v>
      </c>
      <c r="CN8" s="41">
        <v>13.72</v>
      </c>
      <c r="CO8" s="42"/>
      <c r="CQ8" s="40"/>
      <c r="CR8" s="41">
        <v>13.98</v>
      </c>
      <c r="CS8" s="41">
        <v>14.33</v>
      </c>
      <c r="CT8" s="42"/>
      <c r="CV8" s="40"/>
      <c r="CW8" s="42">
        <v>13.35</v>
      </c>
      <c r="CY8" s="40"/>
      <c r="CZ8" s="41">
        <v>13.59</v>
      </c>
      <c r="DA8" s="41">
        <v>13.48</v>
      </c>
      <c r="DB8" s="42">
        <v>13.07</v>
      </c>
      <c r="DD8" s="40"/>
      <c r="DE8" s="41">
        <v>13.67</v>
      </c>
      <c r="DF8" s="41">
        <v>13.38</v>
      </c>
      <c r="DG8" s="41">
        <v>13.4</v>
      </c>
      <c r="DH8" s="42">
        <v>13.16</v>
      </c>
      <c r="DJ8" s="40"/>
      <c r="DK8" s="41">
        <v>13.45</v>
      </c>
      <c r="DL8" s="41">
        <v>13.8</v>
      </c>
      <c r="DM8" s="42">
        <v>13.35</v>
      </c>
      <c r="DO8" s="40"/>
      <c r="DP8" s="41">
        <v>13.39</v>
      </c>
      <c r="DQ8" s="41">
        <v>13.5</v>
      </c>
      <c r="DR8" s="41">
        <v>13.4</v>
      </c>
      <c r="DS8" s="41">
        <v>13.67</v>
      </c>
      <c r="DT8" s="42">
        <v>13.79</v>
      </c>
      <c r="DV8" s="40"/>
      <c r="DW8" s="41">
        <v>13.54</v>
      </c>
      <c r="DX8" s="41">
        <v>13.48</v>
      </c>
      <c r="DY8" s="42">
        <v>13.35</v>
      </c>
      <c r="EA8" s="40"/>
      <c r="EB8" s="41">
        <v>13.13</v>
      </c>
      <c r="EC8" s="41">
        <v>13.18</v>
      </c>
      <c r="ED8" s="41">
        <v>13.55</v>
      </c>
      <c r="EE8" s="41">
        <v>13.39</v>
      </c>
      <c r="EF8" s="42">
        <v>13.43</v>
      </c>
      <c r="EH8" s="40"/>
      <c r="EI8" s="41">
        <v>13.75</v>
      </c>
      <c r="EJ8" s="42">
        <v>13.62</v>
      </c>
      <c r="EL8" s="40"/>
      <c r="EM8" s="41">
        <v>13.26</v>
      </c>
      <c r="EN8" s="42"/>
      <c r="EV8" s="40"/>
      <c r="EW8" s="42">
        <v>14</v>
      </c>
      <c r="EY8" s="40"/>
      <c r="EZ8" s="42">
        <v>13.96</v>
      </c>
      <c r="FA8" s="46"/>
      <c r="FB8" s="40"/>
      <c r="FC8" s="42">
        <v>13.69</v>
      </c>
      <c r="FD8" s="46"/>
      <c r="FE8" s="40"/>
      <c r="FF8" s="41">
        <v>13.81</v>
      </c>
      <c r="FG8" s="42"/>
      <c r="FI8" s="40"/>
      <c r="FJ8" s="41">
        <v>13.61</v>
      </c>
      <c r="FK8" s="42">
        <v>13.56</v>
      </c>
      <c r="FM8" s="40"/>
      <c r="FN8" s="41">
        <v>13.7</v>
      </c>
      <c r="FO8" s="41">
        <v>13.71</v>
      </c>
      <c r="FP8" s="41">
        <v>13.48</v>
      </c>
      <c r="FQ8" s="41">
        <v>13.55</v>
      </c>
      <c r="FR8" s="41">
        <v>13.69</v>
      </c>
      <c r="FS8" s="42"/>
      <c r="GC8" s="40"/>
      <c r="GD8" s="41">
        <v>13.99</v>
      </c>
      <c r="GE8" s="41">
        <v>13.83</v>
      </c>
      <c r="GF8" s="42">
        <v>13.87</v>
      </c>
      <c r="GH8" s="40"/>
      <c r="GI8" s="42">
        <v>13.45</v>
      </c>
      <c r="GK8" s="40"/>
      <c r="GL8" s="41">
        <v>13.74</v>
      </c>
      <c r="GM8" s="42">
        <v>13.68</v>
      </c>
      <c r="GO8" s="40"/>
      <c r="GP8" s="41">
        <v>13.65</v>
      </c>
      <c r="GQ8" s="42"/>
      <c r="GS8" s="40"/>
      <c r="GT8" s="41">
        <v>13.85</v>
      </c>
      <c r="GU8" s="41">
        <v>13.91</v>
      </c>
      <c r="GV8" s="42">
        <v>14.13</v>
      </c>
      <c r="GX8" s="40"/>
      <c r="GY8" s="41">
        <v>14.33</v>
      </c>
      <c r="GZ8" s="41">
        <v>14.4</v>
      </c>
      <c r="HA8" s="42">
        <v>14.05</v>
      </c>
      <c r="HC8" s="40"/>
      <c r="HD8" s="41">
        <v>14.21</v>
      </c>
      <c r="HE8" s="42">
        <v>14.33</v>
      </c>
      <c r="HG8" s="40"/>
      <c r="HH8" s="41">
        <v>13.78</v>
      </c>
      <c r="HI8" s="41">
        <v>13.74</v>
      </c>
      <c r="HJ8" s="41">
        <v>13.62</v>
      </c>
      <c r="HK8" s="41">
        <v>13.88</v>
      </c>
      <c r="HL8" s="42">
        <v>13.71</v>
      </c>
      <c r="HN8" s="40"/>
      <c r="HO8" s="41">
        <v>13.8</v>
      </c>
      <c r="HP8" s="41">
        <v>13.74</v>
      </c>
      <c r="HQ8" s="41">
        <v>13.64</v>
      </c>
      <c r="HR8" s="42">
        <v>13.79</v>
      </c>
      <c r="HT8" s="40"/>
      <c r="HU8" s="41">
        <v>13.58</v>
      </c>
      <c r="HV8" s="41">
        <v>13.29</v>
      </c>
      <c r="HW8" s="41">
        <v>13.49</v>
      </c>
      <c r="HX8" s="42">
        <v>13.48</v>
      </c>
      <c r="HZ8" s="40"/>
      <c r="IA8" s="41">
        <v>13.64</v>
      </c>
      <c r="IB8" s="41">
        <v>13.42</v>
      </c>
      <c r="IC8" s="42">
        <v>13.6</v>
      </c>
      <c r="IE8" s="40"/>
      <c r="IF8" s="41">
        <v>13.85</v>
      </c>
      <c r="IG8" s="42">
        <v>13.91</v>
      </c>
      <c r="II8" s="40"/>
      <c r="IJ8" s="41">
        <v>13.82</v>
      </c>
      <c r="IK8" s="41">
        <v>13.75</v>
      </c>
      <c r="IL8" s="41">
        <v>13.68</v>
      </c>
      <c r="IM8" s="42"/>
      <c r="IO8" s="40"/>
      <c r="IP8" s="41">
        <v>13.15</v>
      </c>
      <c r="IQ8" s="41">
        <v>13.13</v>
      </c>
      <c r="IR8" s="41">
        <v>13.38</v>
      </c>
      <c r="IS8" s="42">
        <v>13.41</v>
      </c>
      <c r="IU8" s="40"/>
      <c r="IV8" s="41">
        <v>13.46</v>
      </c>
      <c r="IW8" s="41">
        <v>13.41</v>
      </c>
      <c r="IX8" s="42"/>
      <c r="IZ8" s="40"/>
      <c r="JA8" s="41">
        <v>13.77</v>
      </c>
      <c r="JB8" s="41">
        <v>13.66</v>
      </c>
      <c r="JC8" s="42">
        <v>13.29</v>
      </c>
      <c r="JE8" s="40"/>
      <c r="JF8" s="41">
        <v>13.61</v>
      </c>
      <c r="JG8" s="42">
        <v>13.35</v>
      </c>
      <c r="JI8" s="40"/>
      <c r="JJ8" s="41">
        <v>13.59</v>
      </c>
      <c r="JK8" s="41">
        <v>13.8</v>
      </c>
      <c r="JL8" s="42">
        <v>13.64</v>
      </c>
      <c r="JN8" s="40"/>
      <c r="JO8" s="41">
        <v>13.86</v>
      </c>
      <c r="JP8" s="41">
        <v>13.9</v>
      </c>
      <c r="JQ8" s="42">
        <v>13.44</v>
      </c>
      <c r="JS8" s="40"/>
      <c r="JT8" s="41">
        <v>13.99</v>
      </c>
      <c r="JU8" s="41">
        <v>13.94</v>
      </c>
      <c r="JV8" s="42">
        <v>13.88</v>
      </c>
      <c r="KA8" s="40"/>
      <c r="KB8" s="41">
        <v>13.59</v>
      </c>
      <c r="KC8" s="41">
        <v>13.63</v>
      </c>
      <c r="KD8" s="42">
        <v>13.72</v>
      </c>
      <c r="KI8" s="40"/>
      <c r="KJ8" s="41">
        <v>13.94</v>
      </c>
      <c r="KK8" s="41">
        <v>13.31</v>
      </c>
      <c r="KL8" s="42">
        <v>13.32</v>
      </c>
      <c r="KN8" s="40"/>
      <c r="KO8" s="41">
        <v>13.44</v>
      </c>
      <c r="KP8" s="41">
        <v>13.29</v>
      </c>
      <c r="KQ8" s="41">
        <v>13.21</v>
      </c>
      <c r="KR8" s="41">
        <v>13.15</v>
      </c>
      <c r="KS8" s="41">
        <v>13.34</v>
      </c>
      <c r="KT8" s="42"/>
    </row>
    <row r="9" spans="1:306" ht="14.25" customHeight="1" x14ac:dyDescent="0.25">
      <c r="A9" s="22"/>
      <c r="B9" s="23" t="s">
        <v>62</v>
      </c>
      <c r="C9" s="28">
        <f t="shared" si="0"/>
        <v>0.9</v>
      </c>
      <c r="D9" s="36">
        <f>CF47</f>
        <v>13.507857142857146</v>
      </c>
      <c r="E9" s="24">
        <f t="shared" si="1"/>
        <v>12.607857142857146</v>
      </c>
      <c r="F9" s="24">
        <f>CH23</f>
        <v>13.705686274509809</v>
      </c>
      <c r="G9" s="24">
        <f t="shared" si="2"/>
        <v>-1.0978291316526629</v>
      </c>
      <c r="H9" s="23">
        <v>420.21</v>
      </c>
      <c r="I9" s="25">
        <f t="shared" si="3"/>
        <v>-461.31877941176549</v>
      </c>
      <c r="L9" s="40"/>
      <c r="M9" s="41">
        <v>14.38</v>
      </c>
      <c r="N9" s="41">
        <v>14.42</v>
      </c>
      <c r="O9" s="41">
        <v>14.37</v>
      </c>
      <c r="P9" s="41">
        <v>14.33</v>
      </c>
      <c r="Q9" s="42">
        <v>14.12</v>
      </c>
      <c r="S9" s="40"/>
      <c r="T9" s="41">
        <v>14.07</v>
      </c>
      <c r="U9" s="41">
        <v>14</v>
      </c>
      <c r="V9" s="41">
        <v>13.75</v>
      </c>
      <c r="W9" s="41">
        <v>13.66</v>
      </c>
      <c r="X9" s="69">
        <v>13.83</v>
      </c>
      <c r="Y9" s="69">
        <v>13.83</v>
      </c>
      <c r="Z9" s="41">
        <v>13.82</v>
      </c>
      <c r="AA9" s="41">
        <v>13.78</v>
      </c>
      <c r="AB9" s="41">
        <v>13.4</v>
      </c>
      <c r="AC9" s="41">
        <v>13.75</v>
      </c>
      <c r="AD9" s="41">
        <v>13.75</v>
      </c>
      <c r="AE9" s="41">
        <v>13.45</v>
      </c>
      <c r="AF9" s="41">
        <v>13.34</v>
      </c>
      <c r="AG9" s="41">
        <v>13.75</v>
      </c>
      <c r="AH9" s="42">
        <v>13.69</v>
      </c>
      <c r="AJ9" s="40"/>
      <c r="AK9" s="41">
        <v>13.74</v>
      </c>
      <c r="AL9" s="41">
        <v>13.75</v>
      </c>
      <c r="AM9" s="41">
        <v>13.65</v>
      </c>
      <c r="AN9" s="41">
        <v>13.87</v>
      </c>
      <c r="AO9" s="41">
        <v>13.94</v>
      </c>
      <c r="AP9" s="41">
        <v>13.92</v>
      </c>
      <c r="AQ9" s="42"/>
      <c r="AS9" s="40"/>
      <c r="AT9" s="41">
        <v>13.79</v>
      </c>
      <c r="AU9" s="41">
        <v>13.96</v>
      </c>
      <c r="AV9" s="41">
        <v>13.94</v>
      </c>
      <c r="AW9" s="41">
        <v>14.01</v>
      </c>
      <c r="AX9" s="41">
        <v>14.01</v>
      </c>
      <c r="AY9" s="41">
        <v>14.07</v>
      </c>
      <c r="AZ9" s="41">
        <v>14.1</v>
      </c>
      <c r="BA9" s="41">
        <v>14.2</v>
      </c>
      <c r="BB9" s="42">
        <v>14.21</v>
      </c>
      <c r="BD9" s="40"/>
      <c r="BE9" s="41">
        <v>13.87</v>
      </c>
      <c r="BF9" s="41">
        <v>13.6</v>
      </c>
      <c r="BG9" s="41">
        <v>13.97</v>
      </c>
      <c r="BH9" s="41">
        <v>13.91</v>
      </c>
      <c r="BI9" s="42">
        <v>13.89</v>
      </c>
      <c r="BK9" s="40"/>
      <c r="BL9" s="41">
        <v>13.88</v>
      </c>
      <c r="BM9" s="41">
        <v>13.94</v>
      </c>
      <c r="BN9" s="41">
        <v>13.97</v>
      </c>
      <c r="BO9" s="41">
        <v>13.72</v>
      </c>
      <c r="BP9" s="41">
        <v>13.87</v>
      </c>
      <c r="BQ9" s="41">
        <v>13.91</v>
      </c>
      <c r="BR9" s="41">
        <v>13.78</v>
      </c>
      <c r="BS9" s="41">
        <v>13.69</v>
      </c>
      <c r="BT9" s="41">
        <v>13.63</v>
      </c>
      <c r="BU9" s="41">
        <v>13.67</v>
      </c>
      <c r="BV9" s="41">
        <v>13.76</v>
      </c>
      <c r="BW9" s="42">
        <v>13.8</v>
      </c>
      <c r="BY9" s="40"/>
      <c r="BZ9" s="41">
        <v>13.72</v>
      </c>
      <c r="CA9" s="41">
        <v>13.65</v>
      </c>
      <c r="CB9" s="41">
        <v>13.26</v>
      </c>
      <c r="CC9" s="42">
        <v>13.73</v>
      </c>
      <c r="CE9" s="40"/>
      <c r="CF9" s="41">
        <v>13.7</v>
      </c>
      <c r="CG9" s="41">
        <v>13.71</v>
      </c>
      <c r="CH9" s="42">
        <v>13.71</v>
      </c>
      <c r="CJ9" s="40"/>
      <c r="CK9" s="41">
        <v>13.85</v>
      </c>
      <c r="CL9" s="41">
        <v>14.08</v>
      </c>
      <c r="CM9" s="41">
        <v>14.26</v>
      </c>
      <c r="CN9" s="41">
        <v>13.92</v>
      </c>
      <c r="CO9" s="42"/>
      <c r="CQ9" s="40"/>
      <c r="CR9" s="41">
        <v>14.21</v>
      </c>
      <c r="CS9" s="41">
        <v>14.33</v>
      </c>
      <c r="CT9" s="42"/>
      <c r="CV9" s="40"/>
      <c r="CW9" s="42">
        <v>13.33</v>
      </c>
      <c r="CY9" s="40"/>
      <c r="CZ9" s="41">
        <v>13.61</v>
      </c>
      <c r="DA9" s="41">
        <v>13.54</v>
      </c>
      <c r="DB9" s="42">
        <v>13.57</v>
      </c>
      <c r="DD9" s="40"/>
      <c r="DE9" s="41">
        <v>13.35</v>
      </c>
      <c r="DF9" s="41">
        <v>13.42</v>
      </c>
      <c r="DG9" s="41">
        <v>13.27</v>
      </c>
      <c r="DH9" s="42">
        <v>13.16</v>
      </c>
      <c r="DJ9" s="40"/>
      <c r="DK9" s="41">
        <v>13.51</v>
      </c>
      <c r="DL9" s="41">
        <v>13.78</v>
      </c>
      <c r="DM9" s="42">
        <v>13.43</v>
      </c>
      <c r="DO9" s="40"/>
      <c r="DP9" s="41">
        <v>13.37</v>
      </c>
      <c r="DQ9" s="41">
        <v>13.44</v>
      </c>
      <c r="DR9" s="41">
        <v>13.37</v>
      </c>
      <c r="DS9" s="41">
        <v>13.71</v>
      </c>
      <c r="DT9" s="42">
        <v>13.74</v>
      </c>
      <c r="DV9" s="40"/>
      <c r="DW9" s="41">
        <v>13.54</v>
      </c>
      <c r="DX9" s="41">
        <v>13.66</v>
      </c>
      <c r="DY9" s="42">
        <v>13.27</v>
      </c>
      <c r="EA9" s="40"/>
      <c r="EB9" s="41">
        <v>13.28</v>
      </c>
      <c r="EC9" s="41">
        <v>13.07</v>
      </c>
      <c r="ED9" s="41">
        <v>13.45</v>
      </c>
      <c r="EE9" s="41">
        <v>13.29</v>
      </c>
      <c r="EF9" s="42">
        <v>13.77</v>
      </c>
      <c r="EH9" s="40"/>
      <c r="EI9" s="41">
        <v>13.94</v>
      </c>
      <c r="EJ9" s="42">
        <v>13.69</v>
      </c>
      <c r="EL9" s="40"/>
      <c r="EM9" s="41">
        <v>13.27</v>
      </c>
      <c r="EN9" s="42"/>
      <c r="EV9" s="40"/>
      <c r="EW9" s="42">
        <v>13.99</v>
      </c>
      <c r="EY9" s="40"/>
      <c r="EZ9" s="42">
        <v>13.97</v>
      </c>
      <c r="FA9" s="46"/>
      <c r="FB9" s="40"/>
      <c r="FC9" s="42">
        <v>13.67</v>
      </c>
      <c r="FD9" s="46"/>
      <c r="FE9" s="40"/>
      <c r="FF9" s="41">
        <v>13.84</v>
      </c>
      <c r="FG9" s="42"/>
      <c r="FI9" s="40"/>
      <c r="FJ9" s="41">
        <v>13.59</v>
      </c>
      <c r="FK9" s="42">
        <v>13.63</v>
      </c>
      <c r="FM9" s="40"/>
      <c r="FN9" s="41">
        <v>13.58</v>
      </c>
      <c r="FO9" s="41">
        <v>13.52</v>
      </c>
      <c r="FP9" s="41">
        <v>13.49</v>
      </c>
      <c r="FQ9" s="41">
        <v>13.61</v>
      </c>
      <c r="FR9" s="41">
        <v>13.54</v>
      </c>
      <c r="FS9" s="42"/>
      <c r="GC9" s="40"/>
      <c r="GD9" s="41">
        <v>13.99</v>
      </c>
      <c r="GE9" s="41">
        <v>13.89</v>
      </c>
      <c r="GF9" s="42">
        <v>13.88</v>
      </c>
      <c r="GH9" s="40"/>
      <c r="GI9" s="42">
        <v>13.45</v>
      </c>
      <c r="GK9" s="40"/>
      <c r="GL9" s="41">
        <v>13.73</v>
      </c>
      <c r="GM9" s="42">
        <v>13.65</v>
      </c>
      <c r="GO9" s="40"/>
      <c r="GP9" s="41">
        <v>13.64</v>
      </c>
      <c r="GQ9" s="42"/>
      <c r="GS9" s="40"/>
      <c r="GT9" s="41">
        <v>13.56</v>
      </c>
      <c r="GU9" s="41">
        <v>14</v>
      </c>
      <c r="GV9" s="42">
        <v>14.14</v>
      </c>
      <c r="GX9" s="40"/>
      <c r="GY9" s="41">
        <v>14.36</v>
      </c>
      <c r="GZ9" s="41">
        <v>14.37</v>
      </c>
      <c r="HA9" s="42">
        <v>14.02</v>
      </c>
      <c r="HC9" s="40"/>
      <c r="HD9" s="41">
        <v>14.56</v>
      </c>
      <c r="HE9" s="42">
        <v>14.21</v>
      </c>
      <c r="HG9" s="40"/>
      <c r="HH9" s="41">
        <v>13.65</v>
      </c>
      <c r="HI9" s="41">
        <v>13.83</v>
      </c>
      <c r="HJ9" s="41">
        <v>13.86</v>
      </c>
      <c r="HK9" s="41">
        <v>13.91</v>
      </c>
      <c r="HL9" s="42">
        <v>13.79</v>
      </c>
      <c r="HN9" s="40"/>
      <c r="HO9" s="41">
        <v>13.71</v>
      </c>
      <c r="HP9" s="41">
        <v>13.71</v>
      </c>
      <c r="HQ9" s="41">
        <v>13.73</v>
      </c>
      <c r="HR9" s="42">
        <v>13.78</v>
      </c>
      <c r="HT9" s="40"/>
      <c r="HU9" s="41">
        <v>13.6</v>
      </c>
      <c r="HV9" s="41">
        <v>13.5</v>
      </c>
      <c r="HW9" s="41">
        <v>13.61</v>
      </c>
      <c r="HX9" s="42">
        <v>13.46</v>
      </c>
      <c r="HZ9" s="40"/>
      <c r="IA9" s="41">
        <v>13.58</v>
      </c>
      <c r="IB9" s="41">
        <v>13.49</v>
      </c>
      <c r="IC9" s="42">
        <v>13.55</v>
      </c>
      <c r="IE9" s="40"/>
      <c r="IF9" s="41">
        <v>13.83</v>
      </c>
      <c r="IG9" s="42">
        <v>13.91</v>
      </c>
      <c r="II9" s="40"/>
      <c r="IJ9" s="41">
        <v>13.78</v>
      </c>
      <c r="IK9" s="41">
        <v>13.71</v>
      </c>
      <c r="IL9" s="41">
        <v>13.71</v>
      </c>
      <c r="IM9" s="42"/>
      <c r="IO9" s="40"/>
      <c r="IP9" s="41">
        <v>13.16</v>
      </c>
      <c r="IQ9" s="41">
        <v>13.14</v>
      </c>
      <c r="IR9" s="41">
        <v>13.38</v>
      </c>
      <c r="IS9" s="42">
        <v>13.38</v>
      </c>
      <c r="IU9" s="40"/>
      <c r="IV9" s="41">
        <v>13.51</v>
      </c>
      <c r="IW9" s="41">
        <v>13.3</v>
      </c>
      <c r="IX9" s="42"/>
      <c r="IZ9" s="40"/>
      <c r="JA9" s="41">
        <v>13.65</v>
      </c>
      <c r="JB9" s="41">
        <v>13.3</v>
      </c>
      <c r="JC9" s="42">
        <v>13.31</v>
      </c>
      <c r="JE9" s="40"/>
      <c r="JF9" s="41">
        <v>13.61</v>
      </c>
      <c r="JG9" s="42">
        <v>13.34</v>
      </c>
      <c r="JI9" s="40"/>
      <c r="JJ9" s="41">
        <v>13.68</v>
      </c>
      <c r="JK9" s="41">
        <v>13.82</v>
      </c>
      <c r="JL9" s="42">
        <v>13.63</v>
      </c>
      <c r="JN9" s="40"/>
      <c r="JO9" s="41">
        <v>13.85</v>
      </c>
      <c r="JP9" s="41">
        <v>13.9</v>
      </c>
      <c r="JQ9" s="42">
        <v>13.96</v>
      </c>
      <c r="JS9" s="40"/>
      <c r="JT9" s="41">
        <v>13.99</v>
      </c>
      <c r="JU9" s="41">
        <v>13.95</v>
      </c>
      <c r="JV9" s="42">
        <v>13.74</v>
      </c>
      <c r="KA9" s="40"/>
      <c r="KB9" s="41">
        <v>13.56</v>
      </c>
      <c r="KC9" s="41">
        <v>13.63</v>
      </c>
      <c r="KD9" s="42">
        <v>13.73</v>
      </c>
      <c r="KI9" s="40"/>
      <c r="KJ9" s="41">
        <v>14.15</v>
      </c>
      <c r="KK9" s="41">
        <v>13.37</v>
      </c>
      <c r="KL9" s="42">
        <v>13.44</v>
      </c>
      <c r="KN9" s="40"/>
      <c r="KO9" s="41">
        <v>13.41</v>
      </c>
      <c r="KP9" s="41">
        <v>13.35</v>
      </c>
      <c r="KQ9" s="41">
        <v>13.19</v>
      </c>
      <c r="KR9" s="41">
        <v>13.17</v>
      </c>
      <c r="KS9" s="41">
        <v>13.38</v>
      </c>
      <c r="KT9" s="42"/>
    </row>
    <row r="10" spans="1:306" x14ac:dyDescent="0.25">
      <c r="A10" s="26"/>
      <c r="B10" s="23"/>
      <c r="C10" s="28"/>
      <c r="D10" s="36"/>
      <c r="E10" s="24"/>
      <c r="F10" s="24"/>
      <c r="G10" s="24"/>
      <c r="H10" s="23"/>
      <c r="I10" s="25">
        <f t="shared" si="3"/>
        <v>0</v>
      </c>
      <c r="L10" s="40"/>
      <c r="M10" s="41">
        <v>14.36</v>
      </c>
      <c r="N10" s="41">
        <v>14.42</v>
      </c>
      <c r="O10" s="41">
        <v>14.34</v>
      </c>
      <c r="P10" s="41">
        <v>14.26</v>
      </c>
      <c r="Q10" s="42">
        <v>14.08</v>
      </c>
      <c r="S10" s="40"/>
      <c r="T10" s="41">
        <v>14.04</v>
      </c>
      <c r="U10" s="41">
        <v>13.98</v>
      </c>
      <c r="V10" s="41">
        <v>13.87</v>
      </c>
      <c r="W10" s="41">
        <v>13.3</v>
      </c>
      <c r="X10" s="69">
        <v>13.38</v>
      </c>
      <c r="Y10" s="69">
        <v>13.65</v>
      </c>
      <c r="Z10" s="41">
        <v>13.67</v>
      </c>
      <c r="AA10" s="41">
        <v>13.79</v>
      </c>
      <c r="AB10" s="41">
        <v>13.52</v>
      </c>
      <c r="AC10" s="41">
        <v>13.74</v>
      </c>
      <c r="AD10" s="41">
        <v>13.75</v>
      </c>
      <c r="AE10" s="41">
        <v>13.25</v>
      </c>
      <c r="AF10" s="41">
        <v>13.56</v>
      </c>
      <c r="AG10" s="41">
        <v>13.77</v>
      </c>
      <c r="AH10" s="42">
        <v>13.72</v>
      </c>
      <c r="AJ10" s="40"/>
      <c r="AK10" s="41">
        <v>13.66</v>
      </c>
      <c r="AL10" s="41">
        <v>13.7</v>
      </c>
      <c r="AM10" s="41">
        <v>13.49</v>
      </c>
      <c r="AN10" s="41">
        <v>13.62</v>
      </c>
      <c r="AO10" s="41">
        <v>13.73</v>
      </c>
      <c r="AP10" s="41">
        <v>13.94</v>
      </c>
      <c r="AQ10" s="42"/>
      <c r="AS10" s="40"/>
      <c r="AT10" s="41">
        <v>13.76</v>
      </c>
      <c r="AU10" s="41">
        <v>13.91</v>
      </c>
      <c r="AV10" s="41">
        <v>14</v>
      </c>
      <c r="AW10" s="41">
        <v>14.08</v>
      </c>
      <c r="AX10" s="41">
        <v>14.03</v>
      </c>
      <c r="AY10" s="41">
        <v>14.12</v>
      </c>
      <c r="AZ10" s="41">
        <v>14.03</v>
      </c>
      <c r="BA10" s="41">
        <v>14.13</v>
      </c>
      <c r="BB10" s="42">
        <v>14.17</v>
      </c>
      <c r="BD10" s="40"/>
      <c r="BE10" s="41">
        <v>13.85</v>
      </c>
      <c r="BF10" s="41">
        <v>13.73</v>
      </c>
      <c r="BG10" s="41">
        <v>13.97</v>
      </c>
      <c r="BH10" s="41">
        <v>13.92</v>
      </c>
      <c r="BI10" s="42">
        <v>13.89</v>
      </c>
      <c r="BK10" s="40"/>
      <c r="BL10" s="41">
        <v>13.87</v>
      </c>
      <c r="BM10" s="41">
        <v>13.96</v>
      </c>
      <c r="BN10" s="41">
        <v>13.42</v>
      </c>
      <c r="BO10" s="41">
        <v>13.77</v>
      </c>
      <c r="BP10" s="41">
        <v>13.55</v>
      </c>
      <c r="BQ10" s="41">
        <v>13.65</v>
      </c>
      <c r="BR10" s="41">
        <v>13.8</v>
      </c>
      <c r="BS10" s="41">
        <v>13.69</v>
      </c>
      <c r="BT10" s="41">
        <v>13.63</v>
      </c>
      <c r="BU10" s="41">
        <v>13.37</v>
      </c>
      <c r="BV10" s="41">
        <v>13.76</v>
      </c>
      <c r="BW10" s="42">
        <v>13.81</v>
      </c>
      <c r="BY10" s="40"/>
      <c r="BZ10" s="41">
        <v>13.65</v>
      </c>
      <c r="CA10" s="41">
        <v>13.35</v>
      </c>
      <c r="CB10" s="41">
        <v>13.71</v>
      </c>
      <c r="CC10" s="42">
        <v>13.76</v>
      </c>
      <c r="CE10" s="40"/>
      <c r="CF10" s="41">
        <v>13.72</v>
      </c>
      <c r="CG10" s="41">
        <v>13.74</v>
      </c>
      <c r="CH10" s="42">
        <v>13.65</v>
      </c>
      <c r="CJ10" s="40"/>
      <c r="CK10" s="41">
        <v>13.84</v>
      </c>
      <c r="CL10" s="41">
        <v>13.55</v>
      </c>
      <c r="CM10" s="41">
        <v>13.99</v>
      </c>
      <c r="CN10" s="41">
        <v>13.75</v>
      </c>
      <c r="CO10" s="42"/>
      <c r="CQ10" s="40"/>
      <c r="CR10" s="41">
        <v>14.37</v>
      </c>
      <c r="CS10" s="41">
        <v>13.92</v>
      </c>
      <c r="CT10" s="42"/>
      <c r="CV10" s="40"/>
      <c r="CW10" s="42">
        <v>13.79</v>
      </c>
      <c r="CY10" s="40"/>
      <c r="CZ10" s="41">
        <v>13.6</v>
      </c>
      <c r="DA10" s="41">
        <v>13.4</v>
      </c>
      <c r="DB10" s="42">
        <v>13.2</v>
      </c>
      <c r="DD10" s="40"/>
      <c r="DE10" s="41">
        <v>13.62</v>
      </c>
      <c r="DF10" s="41">
        <v>13.33</v>
      </c>
      <c r="DG10" s="41">
        <v>13.29</v>
      </c>
      <c r="DH10" s="42">
        <v>13.18</v>
      </c>
      <c r="DJ10" s="40"/>
      <c r="DK10" s="41">
        <v>13.53</v>
      </c>
      <c r="DL10" s="41">
        <v>13.37</v>
      </c>
      <c r="DM10" s="42">
        <v>13.34</v>
      </c>
      <c r="DO10" s="40"/>
      <c r="DP10" s="41">
        <v>13.39</v>
      </c>
      <c r="DQ10" s="41">
        <v>13.51</v>
      </c>
      <c r="DR10" s="41">
        <v>13.46</v>
      </c>
      <c r="DS10" s="41">
        <v>13.66</v>
      </c>
      <c r="DT10" s="42">
        <v>13.74</v>
      </c>
      <c r="DV10" s="40"/>
      <c r="DW10" s="41">
        <v>13.69</v>
      </c>
      <c r="DX10" s="41">
        <v>13.5</v>
      </c>
      <c r="DY10" s="42">
        <v>13.48</v>
      </c>
      <c r="EA10" s="40"/>
      <c r="EB10" s="41">
        <v>13.15</v>
      </c>
      <c r="EC10" s="41">
        <v>13.47</v>
      </c>
      <c r="ED10" s="41">
        <v>13.48</v>
      </c>
      <c r="EE10" s="41">
        <v>13.38</v>
      </c>
      <c r="EF10" s="42">
        <v>13.5</v>
      </c>
      <c r="EH10" s="40"/>
      <c r="EI10" s="41">
        <v>13.99</v>
      </c>
      <c r="EJ10" s="42">
        <v>13.69</v>
      </c>
      <c r="EL10" s="40"/>
      <c r="EM10" s="41">
        <v>13.28</v>
      </c>
      <c r="EN10" s="42"/>
      <c r="EV10" s="40"/>
      <c r="EW10" s="42">
        <v>14.02</v>
      </c>
      <c r="EY10" s="40"/>
      <c r="EZ10" s="42">
        <v>13.96</v>
      </c>
      <c r="FA10" s="46"/>
      <c r="FB10" s="40"/>
      <c r="FC10" s="42">
        <v>13.67</v>
      </c>
      <c r="FD10" s="46"/>
      <c r="FE10" s="40"/>
      <c r="FF10" s="41">
        <v>13.81</v>
      </c>
      <c r="FG10" s="42"/>
      <c r="FI10" s="40"/>
      <c r="FJ10" s="41">
        <v>13.56</v>
      </c>
      <c r="FK10" s="42">
        <v>13.58</v>
      </c>
      <c r="FM10" s="40"/>
      <c r="FN10" s="41">
        <v>13.71</v>
      </c>
      <c r="FO10" s="41">
        <v>13.7</v>
      </c>
      <c r="FP10" s="41">
        <v>13.62</v>
      </c>
      <c r="FQ10" s="41">
        <v>13.72</v>
      </c>
      <c r="FR10" s="41">
        <v>13.73</v>
      </c>
      <c r="FS10" s="42"/>
      <c r="GC10" s="40"/>
      <c r="GD10" s="41">
        <v>13.99</v>
      </c>
      <c r="GE10" s="41">
        <v>13.91</v>
      </c>
      <c r="GF10" s="42">
        <v>13.87</v>
      </c>
      <c r="GH10" s="40"/>
      <c r="GI10" s="42">
        <v>13.45</v>
      </c>
      <c r="GK10" s="40"/>
      <c r="GL10" s="41">
        <v>13.72</v>
      </c>
      <c r="GM10" s="42">
        <v>13.57</v>
      </c>
      <c r="GO10" s="40"/>
      <c r="GP10" s="41">
        <v>13.64</v>
      </c>
      <c r="GQ10" s="42"/>
      <c r="GS10" s="40"/>
      <c r="GT10" s="41">
        <v>13.38</v>
      </c>
      <c r="GU10" s="41">
        <v>13.98</v>
      </c>
      <c r="GV10" s="42">
        <v>14.13</v>
      </c>
      <c r="GX10" s="40"/>
      <c r="GY10" s="41">
        <v>14.36</v>
      </c>
      <c r="GZ10" s="41">
        <v>14.36</v>
      </c>
      <c r="HA10" s="42">
        <v>14.03</v>
      </c>
      <c r="HC10" s="40"/>
      <c r="HD10" s="41">
        <v>14.37</v>
      </c>
      <c r="HE10" s="42">
        <v>14.33</v>
      </c>
      <c r="HG10" s="40"/>
      <c r="HH10" s="41">
        <v>13.76</v>
      </c>
      <c r="HI10" s="41">
        <v>13.84</v>
      </c>
      <c r="HJ10" s="41">
        <v>13.86</v>
      </c>
      <c r="HK10" s="41">
        <v>13.92</v>
      </c>
      <c r="HL10" s="42">
        <v>13.91</v>
      </c>
      <c r="HN10" s="40"/>
      <c r="HO10" s="41">
        <v>13.82</v>
      </c>
      <c r="HP10" s="41">
        <v>13.74</v>
      </c>
      <c r="HQ10" s="41">
        <v>13.49</v>
      </c>
      <c r="HR10" s="42">
        <v>13.78</v>
      </c>
      <c r="HT10" s="40"/>
      <c r="HU10" s="41">
        <v>13.49</v>
      </c>
      <c r="HV10" s="41">
        <v>13.32</v>
      </c>
      <c r="HW10" s="41">
        <v>13.3</v>
      </c>
      <c r="HX10" s="42">
        <v>13.53</v>
      </c>
      <c r="HZ10" s="40"/>
      <c r="IA10" s="41">
        <v>13.55</v>
      </c>
      <c r="IB10" s="41">
        <v>13.3</v>
      </c>
      <c r="IC10" s="42">
        <v>13.42</v>
      </c>
      <c r="IE10" s="40"/>
      <c r="IF10" s="41">
        <v>13.86</v>
      </c>
      <c r="IG10" s="42">
        <v>13.88</v>
      </c>
      <c r="II10" s="40"/>
      <c r="IJ10" s="41">
        <v>13.74</v>
      </c>
      <c r="IK10" s="41">
        <v>13.7</v>
      </c>
      <c r="IL10" s="41">
        <v>13.74</v>
      </c>
      <c r="IM10" s="42"/>
      <c r="IO10" s="40"/>
      <c r="IP10" s="41">
        <v>13.17</v>
      </c>
      <c r="IQ10" s="41">
        <v>13.2</v>
      </c>
      <c r="IR10" s="41">
        <v>13.35</v>
      </c>
      <c r="IS10" s="42">
        <v>13.37</v>
      </c>
      <c r="IU10" s="40"/>
      <c r="IV10" s="41">
        <v>13.44</v>
      </c>
      <c r="IW10" s="41">
        <v>13.37</v>
      </c>
      <c r="IX10" s="42"/>
      <c r="IZ10" s="40"/>
      <c r="JA10" s="41">
        <v>13.48</v>
      </c>
      <c r="JB10" s="41">
        <v>13.17</v>
      </c>
      <c r="JC10" s="42">
        <v>13.34</v>
      </c>
      <c r="JE10" s="40"/>
      <c r="JF10" s="41">
        <v>13.58</v>
      </c>
      <c r="JG10" s="42">
        <v>13.35</v>
      </c>
      <c r="JI10" s="40"/>
      <c r="JJ10" s="41">
        <v>13.69</v>
      </c>
      <c r="JK10" s="41">
        <v>13.81</v>
      </c>
      <c r="JL10" s="42">
        <v>13.63</v>
      </c>
      <c r="JN10" s="40"/>
      <c r="JO10" s="41">
        <v>13.86</v>
      </c>
      <c r="JP10" s="41">
        <v>13.89</v>
      </c>
      <c r="JQ10" s="42">
        <v>13.4</v>
      </c>
      <c r="JS10" s="40"/>
      <c r="JT10" s="41">
        <v>13.99</v>
      </c>
      <c r="JU10" s="41">
        <v>13.97</v>
      </c>
      <c r="JV10" s="42">
        <v>13.79</v>
      </c>
      <c r="KA10" s="40"/>
      <c r="KB10" s="41">
        <v>13.56</v>
      </c>
      <c r="KC10" s="41">
        <v>13.63</v>
      </c>
      <c r="KD10" s="42">
        <v>13.73</v>
      </c>
      <c r="KI10" s="40"/>
      <c r="KJ10" s="41">
        <v>14.2</v>
      </c>
      <c r="KK10" s="41">
        <v>13.3</v>
      </c>
      <c r="KL10" s="42">
        <v>13.49</v>
      </c>
      <c r="KN10" s="40"/>
      <c r="KO10" s="41">
        <v>13.38</v>
      </c>
      <c r="KP10" s="41">
        <v>13.44</v>
      </c>
      <c r="KQ10" s="41">
        <v>13.17</v>
      </c>
      <c r="KR10" s="41">
        <v>13.19</v>
      </c>
      <c r="KS10" s="41">
        <v>13.34</v>
      </c>
      <c r="KT10" s="42"/>
    </row>
    <row r="11" spans="1:306" x14ac:dyDescent="0.25">
      <c r="A11" s="26" t="s">
        <v>22</v>
      </c>
      <c r="B11" s="23" t="s">
        <v>34</v>
      </c>
      <c r="C11" s="78">
        <f t="shared" ref="C11:C19" si="5">0.05+0.15+0.2</f>
        <v>0.4</v>
      </c>
      <c r="D11" s="36">
        <f>CL47</f>
        <v>13.81076923076923</v>
      </c>
      <c r="E11" s="24">
        <f t="shared" si="1"/>
        <v>13.41076923076923</v>
      </c>
      <c r="F11" s="24">
        <f>CO23</f>
        <v>13.901190476190479</v>
      </c>
      <c r="G11" s="24">
        <f t="shared" ref="G11:G19" si="6">E11-F11</f>
        <v>-0.4904212454212491</v>
      </c>
      <c r="H11" s="59">
        <v>689.88</v>
      </c>
      <c r="I11" s="25">
        <f t="shared" si="3"/>
        <v>-338.3318087912113</v>
      </c>
      <c r="L11" s="40"/>
      <c r="M11" s="41">
        <v>14.38</v>
      </c>
      <c r="N11" s="41">
        <v>14.41</v>
      </c>
      <c r="O11" s="41">
        <v>14.09</v>
      </c>
      <c r="P11" s="41">
        <v>14.23</v>
      </c>
      <c r="Q11" s="42">
        <v>14.12</v>
      </c>
      <c r="S11" s="40"/>
      <c r="T11" s="41">
        <v>14.02</v>
      </c>
      <c r="U11" s="41">
        <v>13.97</v>
      </c>
      <c r="V11" s="41">
        <v>13.89</v>
      </c>
      <c r="W11" s="41">
        <v>13.84</v>
      </c>
      <c r="X11" s="69">
        <v>13.51</v>
      </c>
      <c r="Y11" s="69">
        <v>13.45</v>
      </c>
      <c r="Z11" s="41">
        <v>13.57</v>
      </c>
      <c r="AA11" s="41">
        <v>13.84</v>
      </c>
      <c r="AB11" s="41">
        <v>13.67</v>
      </c>
      <c r="AC11" s="41">
        <v>13.64</v>
      </c>
      <c r="AD11" s="41">
        <v>13.73</v>
      </c>
      <c r="AE11" s="41">
        <v>13.26</v>
      </c>
      <c r="AF11" s="41">
        <v>13.76</v>
      </c>
      <c r="AG11" s="41">
        <v>13.77</v>
      </c>
      <c r="AH11" s="42">
        <v>13.69</v>
      </c>
      <c r="AJ11" s="40"/>
      <c r="AK11" s="41">
        <v>13.77</v>
      </c>
      <c r="AL11" s="41">
        <v>13.73</v>
      </c>
      <c r="AM11" s="41">
        <v>13.86</v>
      </c>
      <c r="AN11" s="41">
        <v>13.86</v>
      </c>
      <c r="AO11" s="41">
        <v>13.92</v>
      </c>
      <c r="AP11" s="41">
        <v>13.96</v>
      </c>
      <c r="AQ11" s="42"/>
      <c r="AS11" s="40"/>
      <c r="AT11" s="41">
        <v>13.86</v>
      </c>
      <c r="AU11" s="41">
        <v>14.24</v>
      </c>
      <c r="AV11" s="41">
        <v>14.08</v>
      </c>
      <c r="AW11" s="41">
        <v>14.11</v>
      </c>
      <c r="AX11" s="41">
        <v>14.2</v>
      </c>
      <c r="AY11" s="41">
        <v>14.19</v>
      </c>
      <c r="AZ11" s="41">
        <v>13.88</v>
      </c>
      <c r="BA11" s="41">
        <v>13.93</v>
      </c>
      <c r="BB11" s="42">
        <v>13.97</v>
      </c>
      <c r="BD11" s="40"/>
      <c r="BE11" s="41">
        <v>13.59</v>
      </c>
      <c r="BF11" s="41">
        <v>13.87</v>
      </c>
      <c r="BG11" s="41">
        <v>13.55</v>
      </c>
      <c r="BH11" s="41">
        <v>13.43</v>
      </c>
      <c r="BI11" s="42"/>
      <c r="BK11" s="40"/>
      <c r="BL11" s="41">
        <v>13.86</v>
      </c>
      <c r="BM11" s="41">
        <v>13.43</v>
      </c>
      <c r="BN11" s="41">
        <v>14.02</v>
      </c>
      <c r="BO11" s="41">
        <v>13.82</v>
      </c>
      <c r="BP11" s="41">
        <v>13.85</v>
      </c>
      <c r="BQ11" s="41">
        <v>13.9</v>
      </c>
      <c r="BR11" s="41">
        <v>13.22</v>
      </c>
      <c r="BS11" s="41">
        <v>13.67</v>
      </c>
      <c r="BT11" s="41">
        <v>13.36</v>
      </c>
      <c r="BU11" s="41">
        <v>13.83</v>
      </c>
      <c r="BV11" s="41">
        <v>13.68</v>
      </c>
      <c r="BW11" s="42">
        <v>13.82</v>
      </c>
      <c r="BY11" s="40"/>
      <c r="BZ11" s="41">
        <v>13.54</v>
      </c>
      <c r="CA11" s="41">
        <v>13.51</v>
      </c>
      <c r="CB11" s="41">
        <v>13.3</v>
      </c>
      <c r="CC11" s="42">
        <v>13.75</v>
      </c>
      <c r="CE11" s="40"/>
      <c r="CF11" s="41">
        <v>13.74</v>
      </c>
      <c r="CG11" s="41">
        <v>13.76</v>
      </c>
      <c r="CH11" s="42">
        <v>13.66</v>
      </c>
      <c r="CJ11" s="40"/>
      <c r="CK11" s="41">
        <v>13.88</v>
      </c>
      <c r="CL11" s="41">
        <v>14.08</v>
      </c>
      <c r="CM11" s="41">
        <v>14.27</v>
      </c>
      <c r="CN11" s="41">
        <v>13.93</v>
      </c>
      <c r="CO11" s="42"/>
      <c r="CQ11" s="40"/>
      <c r="CR11" s="41">
        <v>14.56</v>
      </c>
      <c r="CS11" s="41">
        <v>13.98</v>
      </c>
      <c r="CT11" s="42"/>
      <c r="CV11" s="40"/>
      <c r="CW11" s="42">
        <v>13.78</v>
      </c>
      <c r="CY11" s="40"/>
      <c r="CZ11" s="41">
        <v>13.59</v>
      </c>
      <c r="DA11" s="41">
        <v>13.53</v>
      </c>
      <c r="DB11" s="42">
        <v>13.57</v>
      </c>
      <c r="DD11" s="40"/>
      <c r="DE11" s="41">
        <v>13.38</v>
      </c>
      <c r="DF11" s="41">
        <v>13.42</v>
      </c>
      <c r="DG11" s="41">
        <v>13.41</v>
      </c>
      <c r="DH11" s="42">
        <v>13.15</v>
      </c>
      <c r="DJ11" s="40"/>
      <c r="DK11" s="41">
        <v>13.56</v>
      </c>
      <c r="DL11" s="41">
        <v>13.35</v>
      </c>
      <c r="DM11" s="42">
        <v>13.4</v>
      </c>
      <c r="DO11" s="40"/>
      <c r="DP11" s="41">
        <v>13.4</v>
      </c>
      <c r="DQ11" s="41">
        <v>13.46</v>
      </c>
      <c r="DR11" s="41">
        <v>13.38</v>
      </c>
      <c r="DS11" s="41">
        <v>13.57</v>
      </c>
      <c r="DT11" s="42">
        <v>13.75</v>
      </c>
      <c r="DV11" s="40"/>
      <c r="DW11" s="41">
        <v>13.59</v>
      </c>
      <c r="DX11" s="41">
        <v>13.68</v>
      </c>
      <c r="DY11" s="42">
        <v>13.33</v>
      </c>
      <c r="EA11" s="40"/>
      <c r="EB11" s="41">
        <v>13.18</v>
      </c>
      <c r="EC11" s="41">
        <v>13.14</v>
      </c>
      <c r="ED11" s="41">
        <v>13.41</v>
      </c>
      <c r="EE11" s="41">
        <v>13.29</v>
      </c>
      <c r="EF11" s="42"/>
      <c r="EH11" s="40"/>
      <c r="EI11" s="41">
        <v>13.96</v>
      </c>
      <c r="EJ11" s="42">
        <v>13.64</v>
      </c>
      <c r="EL11" s="40"/>
      <c r="EM11" s="41">
        <v>13.68</v>
      </c>
      <c r="EN11" s="42"/>
      <c r="EV11" s="40"/>
      <c r="EW11" s="42">
        <v>14.01</v>
      </c>
      <c r="EY11" s="40"/>
      <c r="EZ11" s="42">
        <v>13.95</v>
      </c>
      <c r="FA11" s="46"/>
      <c r="FB11" s="40"/>
      <c r="FC11" s="42">
        <v>13.69</v>
      </c>
      <c r="FD11" s="46"/>
      <c r="FE11" s="40"/>
      <c r="FF11" s="41">
        <v>13.84</v>
      </c>
      <c r="FG11" s="42"/>
      <c r="FI11" s="40"/>
      <c r="FJ11" s="41">
        <v>13.63</v>
      </c>
      <c r="FK11" s="42">
        <v>13.56</v>
      </c>
      <c r="FM11" s="40"/>
      <c r="FN11" s="41">
        <v>13.6</v>
      </c>
      <c r="FO11" s="41">
        <v>13.5</v>
      </c>
      <c r="FP11" s="41">
        <v>13.6</v>
      </c>
      <c r="FQ11" s="41">
        <v>13.51</v>
      </c>
      <c r="FR11" s="41">
        <v>13.57</v>
      </c>
      <c r="FS11" s="42"/>
      <c r="GC11" s="40"/>
      <c r="GD11" s="41">
        <v>13.99</v>
      </c>
      <c r="GE11" s="41">
        <v>13.9</v>
      </c>
      <c r="GF11" s="42">
        <v>13.78</v>
      </c>
      <c r="GH11" s="40"/>
      <c r="GI11" s="42">
        <v>14.01</v>
      </c>
      <c r="GK11" s="40"/>
      <c r="GL11" s="41">
        <v>13.72</v>
      </c>
      <c r="GM11" s="42">
        <v>13.57</v>
      </c>
      <c r="GO11" s="40"/>
      <c r="GP11" s="41">
        <v>13.35</v>
      </c>
      <c r="GQ11" s="42"/>
      <c r="GS11" s="40"/>
      <c r="GT11" s="41">
        <v>13.42</v>
      </c>
      <c r="GU11" s="41">
        <v>13.84</v>
      </c>
      <c r="GV11" s="42">
        <v>14.18</v>
      </c>
      <c r="GX11" s="40"/>
      <c r="GY11" s="41">
        <v>14.4</v>
      </c>
      <c r="GZ11" s="41">
        <v>14.34</v>
      </c>
      <c r="HA11" s="42">
        <v>14.01</v>
      </c>
      <c r="HC11" s="40"/>
      <c r="HD11" s="41">
        <v>14.21</v>
      </c>
      <c r="HE11" s="42">
        <v>14.23</v>
      </c>
      <c r="HG11" s="40"/>
      <c r="HH11" s="41">
        <v>13.78</v>
      </c>
      <c r="HI11" s="41">
        <v>13.62</v>
      </c>
      <c r="HJ11" s="41">
        <v>13.84</v>
      </c>
      <c r="HK11" s="41">
        <v>13.93</v>
      </c>
      <c r="HL11" s="42">
        <v>13.96</v>
      </c>
      <c r="HN11" s="40"/>
      <c r="HO11" s="41">
        <v>13.73</v>
      </c>
      <c r="HP11" s="41">
        <v>13.75</v>
      </c>
      <c r="HQ11" s="41">
        <v>13.64</v>
      </c>
      <c r="HR11" s="42">
        <v>13.79</v>
      </c>
      <c r="HT11" s="40"/>
      <c r="HU11" s="41">
        <v>13.62</v>
      </c>
      <c r="HV11" s="41">
        <v>13.57</v>
      </c>
      <c r="HW11" s="41">
        <v>13.48</v>
      </c>
      <c r="HX11" s="42">
        <v>13.53</v>
      </c>
      <c r="HZ11" s="40"/>
      <c r="IA11" s="41">
        <v>13.55</v>
      </c>
      <c r="IB11" s="41">
        <v>13.49</v>
      </c>
      <c r="IC11" s="42">
        <v>13.61</v>
      </c>
      <c r="IE11" s="40"/>
      <c r="IF11" s="41">
        <v>13.85</v>
      </c>
      <c r="IG11" s="42">
        <v>13.87</v>
      </c>
      <c r="II11" s="40"/>
      <c r="IJ11" s="41">
        <v>13.77</v>
      </c>
      <c r="IK11" s="41">
        <v>13.7</v>
      </c>
      <c r="IL11" s="41">
        <v>13.64</v>
      </c>
      <c r="IM11" s="42"/>
      <c r="IO11" s="40"/>
      <c r="IP11" s="41">
        <v>13.16</v>
      </c>
      <c r="IQ11" s="41">
        <v>13.21</v>
      </c>
      <c r="IR11" s="41">
        <v>13.34</v>
      </c>
      <c r="IS11" s="42">
        <v>13.43</v>
      </c>
      <c r="IU11" s="40"/>
      <c r="IV11" s="41">
        <v>13.5</v>
      </c>
      <c r="IW11" s="41">
        <v>13.35</v>
      </c>
      <c r="IX11" s="42"/>
      <c r="IZ11" s="40"/>
      <c r="JA11" s="41">
        <v>13.22</v>
      </c>
      <c r="JB11" s="41">
        <v>13.23</v>
      </c>
      <c r="JC11" s="42">
        <v>13.36</v>
      </c>
      <c r="JE11" s="40"/>
      <c r="JF11" s="41">
        <v>13.58</v>
      </c>
      <c r="JG11" s="42">
        <v>13.27</v>
      </c>
      <c r="JI11" s="40"/>
      <c r="JJ11" s="41">
        <v>13.68</v>
      </c>
      <c r="JK11" s="41">
        <v>13.82</v>
      </c>
      <c r="JL11" s="42">
        <v>13.64</v>
      </c>
      <c r="JN11" s="40"/>
      <c r="JO11" s="41">
        <v>13.87</v>
      </c>
      <c r="JP11" s="41">
        <v>13.89</v>
      </c>
      <c r="JQ11" s="42">
        <v>13.95</v>
      </c>
      <c r="JS11" s="40"/>
      <c r="JT11" s="41">
        <v>13.99</v>
      </c>
      <c r="JU11" s="41">
        <v>13.96</v>
      </c>
      <c r="JV11" s="42">
        <v>13.74</v>
      </c>
      <c r="KA11" s="40"/>
      <c r="KB11" s="41">
        <v>13.56</v>
      </c>
      <c r="KC11" s="41">
        <v>13.62</v>
      </c>
      <c r="KD11" s="42">
        <v>13.71</v>
      </c>
      <c r="KI11" s="40"/>
      <c r="KJ11" s="41">
        <v>14.21</v>
      </c>
      <c r="KK11" s="41">
        <v>13.61</v>
      </c>
      <c r="KL11" s="42">
        <v>13.57</v>
      </c>
      <c r="KN11" s="40"/>
      <c r="KO11" s="41">
        <v>13.46</v>
      </c>
      <c r="KP11" s="41">
        <v>13.46</v>
      </c>
      <c r="KQ11" s="41">
        <v>13.16</v>
      </c>
      <c r="KR11" s="41">
        <v>13.35</v>
      </c>
      <c r="KS11" s="41">
        <v>13.29</v>
      </c>
      <c r="KT11" s="42"/>
    </row>
    <row r="12" spans="1:306" x14ac:dyDescent="0.25">
      <c r="A12" s="26"/>
      <c r="B12" s="23" t="s">
        <v>34</v>
      </c>
      <c r="C12" s="78">
        <f t="shared" si="5"/>
        <v>0.4</v>
      </c>
      <c r="D12" s="36">
        <f>CR47</f>
        <v>13.760526315789473</v>
      </c>
      <c r="E12" s="24">
        <f t="shared" si="1"/>
        <v>13.360526315789473</v>
      </c>
      <c r="F12" s="36">
        <f>CT23</f>
        <v>14.112045454545461</v>
      </c>
      <c r="G12" s="24">
        <f t="shared" si="6"/>
        <v>-0.75151913875598808</v>
      </c>
      <c r="H12" s="59">
        <v>292.81</v>
      </c>
      <c r="I12" s="25">
        <f t="shared" si="3"/>
        <v>-220.05231901914087</v>
      </c>
      <c r="L12" s="40"/>
      <c r="M12" s="41">
        <v>14.42</v>
      </c>
      <c r="N12" s="41">
        <v>14.37</v>
      </c>
      <c r="O12" s="41">
        <v>14.36</v>
      </c>
      <c r="P12" s="41">
        <v>13.92</v>
      </c>
      <c r="Q12" s="42">
        <v>14.1</v>
      </c>
      <c r="S12" s="40"/>
      <c r="T12" s="41">
        <v>13.98</v>
      </c>
      <c r="U12" s="41">
        <v>13.94</v>
      </c>
      <c r="V12" s="41">
        <v>13.66</v>
      </c>
      <c r="W12" s="41">
        <v>13.96</v>
      </c>
      <c r="X12" s="69">
        <v>13.68</v>
      </c>
      <c r="Y12" s="69">
        <v>13.4</v>
      </c>
      <c r="Z12" s="41">
        <v>13.42</v>
      </c>
      <c r="AA12" s="41">
        <v>13.65</v>
      </c>
      <c r="AB12" s="41">
        <v>13.72</v>
      </c>
      <c r="AC12" s="41">
        <v>13.34</v>
      </c>
      <c r="AD12" s="41">
        <v>13.66</v>
      </c>
      <c r="AE12" s="41">
        <v>13.43</v>
      </c>
      <c r="AF12" s="41">
        <v>13.73</v>
      </c>
      <c r="AG12" s="41">
        <v>13.77</v>
      </c>
      <c r="AH12" s="42">
        <v>13.71</v>
      </c>
      <c r="AJ12" s="40"/>
      <c r="AK12" s="41">
        <v>13.81</v>
      </c>
      <c r="AL12" s="41">
        <v>13.76</v>
      </c>
      <c r="AM12" s="41">
        <v>13.86</v>
      </c>
      <c r="AN12" s="41">
        <v>13.88</v>
      </c>
      <c r="AO12" s="41">
        <v>13.94</v>
      </c>
      <c r="AP12" s="41">
        <v>13.89</v>
      </c>
      <c r="AQ12" s="42"/>
      <c r="AS12" s="40"/>
      <c r="AT12" s="41">
        <v>13.89</v>
      </c>
      <c r="AU12" s="41">
        <v>14.08</v>
      </c>
      <c r="AV12" s="41">
        <v>14.18</v>
      </c>
      <c r="AW12" s="41">
        <v>14.08</v>
      </c>
      <c r="AX12" s="41">
        <v>14.09</v>
      </c>
      <c r="AY12" s="41">
        <v>14.07</v>
      </c>
      <c r="AZ12" s="41">
        <v>14.12</v>
      </c>
      <c r="BA12" s="41">
        <v>14.18</v>
      </c>
      <c r="BB12" s="42">
        <v>14.19</v>
      </c>
      <c r="BD12" s="40"/>
      <c r="BE12" s="41">
        <v>13.87</v>
      </c>
      <c r="BF12" s="41">
        <v>13.9</v>
      </c>
      <c r="BG12" s="41">
        <v>13.76</v>
      </c>
      <c r="BH12" s="41">
        <v>13.66</v>
      </c>
      <c r="BI12" s="42"/>
      <c r="BK12" s="40"/>
      <c r="BL12" s="41">
        <v>13.84</v>
      </c>
      <c r="BM12" s="41">
        <v>13.84</v>
      </c>
      <c r="BN12" s="41">
        <v>13.98</v>
      </c>
      <c r="BO12" s="41">
        <v>13.86</v>
      </c>
      <c r="BP12" s="41">
        <v>13.89</v>
      </c>
      <c r="BQ12" s="41">
        <v>13.9</v>
      </c>
      <c r="BR12" s="41">
        <v>13.67</v>
      </c>
      <c r="BS12" s="41">
        <v>13.69</v>
      </c>
      <c r="BT12" s="41">
        <v>13.63</v>
      </c>
      <c r="BU12" s="41">
        <v>13.68</v>
      </c>
      <c r="BV12" s="41">
        <v>13.77</v>
      </c>
      <c r="BW12" s="42"/>
      <c r="BY12" s="40"/>
      <c r="BZ12" s="41">
        <v>13.55</v>
      </c>
      <c r="CA12" s="41">
        <v>13.71</v>
      </c>
      <c r="CB12" s="41">
        <v>13.72</v>
      </c>
      <c r="CC12" s="42"/>
      <c r="CE12" s="40"/>
      <c r="CF12" s="41">
        <v>13.73</v>
      </c>
      <c r="CG12" s="41">
        <v>13.69</v>
      </c>
      <c r="CH12" s="42">
        <v>13.68</v>
      </c>
      <c r="CJ12" s="40"/>
      <c r="CK12" s="41">
        <v>13.87</v>
      </c>
      <c r="CL12" s="41">
        <v>13.62</v>
      </c>
      <c r="CM12" s="41">
        <v>13.94</v>
      </c>
      <c r="CN12" s="41">
        <v>13.76</v>
      </c>
      <c r="CO12" s="42"/>
      <c r="CQ12" s="40"/>
      <c r="CR12" s="41">
        <v>14.21</v>
      </c>
      <c r="CS12" s="41">
        <v>14.1</v>
      </c>
      <c r="CT12" s="42"/>
      <c r="CV12" s="40"/>
      <c r="CW12" s="42">
        <v>13.79</v>
      </c>
      <c r="CY12" s="40"/>
      <c r="CZ12" s="41">
        <v>13.61</v>
      </c>
      <c r="DA12" s="41">
        <v>13.48</v>
      </c>
      <c r="DB12" s="42">
        <v>13.35</v>
      </c>
      <c r="DD12" s="40"/>
      <c r="DE12" s="41">
        <v>13.44</v>
      </c>
      <c r="DF12" s="41">
        <v>13.34</v>
      </c>
      <c r="DG12" s="41">
        <v>13.21</v>
      </c>
      <c r="DH12" s="42">
        <v>13.28</v>
      </c>
      <c r="DJ12" s="40"/>
      <c r="DK12" s="41">
        <v>13.36</v>
      </c>
      <c r="DL12" s="41">
        <v>13.8</v>
      </c>
      <c r="DM12" s="42">
        <v>13.37</v>
      </c>
      <c r="DO12" s="40"/>
      <c r="DP12" s="41">
        <v>13.38</v>
      </c>
      <c r="DQ12" s="41">
        <v>13.52</v>
      </c>
      <c r="DR12" s="41">
        <v>13.33</v>
      </c>
      <c r="DS12" s="41">
        <v>13.64</v>
      </c>
      <c r="DT12" s="42">
        <v>13.83</v>
      </c>
      <c r="DV12" s="40"/>
      <c r="DW12" s="41">
        <v>13.7</v>
      </c>
      <c r="DX12" s="41">
        <v>13.51</v>
      </c>
      <c r="DY12" s="42">
        <v>13.57</v>
      </c>
      <c r="EA12" s="40"/>
      <c r="EB12" s="41">
        <v>13.27</v>
      </c>
      <c r="EC12" s="41">
        <v>13.45</v>
      </c>
      <c r="ED12" s="41">
        <v>13.35</v>
      </c>
      <c r="EE12" s="41">
        <v>13.38</v>
      </c>
      <c r="EF12" s="42"/>
      <c r="EH12" s="40"/>
      <c r="EI12" s="41">
        <v>13.99</v>
      </c>
      <c r="EJ12" s="42">
        <v>13.27</v>
      </c>
      <c r="EL12" s="40"/>
      <c r="EM12" s="41">
        <v>13.66</v>
      </c>
      <c r="EN12" s="42"/>
      <c r="EV12" s="40"/>
      <c r="EW12" s="42">
        <v>14</v>
      </c>
      <c r="EY12" s="40"/>
      <c r="EZ12" s="42">
        <v>13.94</v>
      </c>
      <c r="FA12" s="46"/>
      <c r="FB12" s="40"/>
      <c r="FC12" s="42">
        <v>13.67</v>
      </c>
      <c r="FD12" s="46"/>
      <c r="FE12" s="40"/>
      <c r="FF12" s="41">
        <v>13.88</v>
      </c>
      <c r="FG12" s="42"/>
      <c r="FI12" s="40"/>
      <c r="FJ12" s="41">
        <v>13.6</v>
      </c>
      <c r="FK12" s="42">
        <v>13.6</v>
      </c>
      <c r="FM12" s="40"/>
      <c r="FN12" s="41">
        <v>13.73</v>
      </c>
      <c r="FO12" s="41">
        <v>13.68</v>
      </c>
      <c r="FP12" s="41">
        <v>13.74</v>
      </c>
      <c r="FQ12" s="41">
        <v>13.65</v>
      </c>
      <c r="FR12" s="41">
        <v>13.86</v>
      </c>
      <c r="FS12" s="42"/>
      <c r="GC12" s="40"/>
      <c r="GD12" s="41">
        <v>13.99</v>
      </c>
      <c r="GE12" s="41">
        <v>13.89</v>
      </c>
      <c r="GF12" s="42"/>
      <c r="GH12" s="40"/>
      <c r="GI12" s="42"/>
      <c r="GK12" s="40"/>
      <c r="GL12" s="41">
        <v>13.7</v>
      </c>
      <c r="GM12" s="42">
        <v>13.56</v>
      </c>
      <c r="GO12" s="40"/>
      <c r="GP12" s="41">
        <v>13.35</v>
      </c>
      <c r="GQ12" s="42"/>
      <c r="GS12" s="40"/>
      <c r="GT12" s="41">
        <v>13.45</v>
      </c>
      <c r="GU12" s="41">
        <v>13.77</v>
      </c>
      <c r="GV12" s="42">
        <v>14.07</v>
      </c>
      <c r="GX12" s="40"/>
      <c r="GY12" s="41">
        <v>14.42</v>
      </c>
      <c r="GZ12" s="41">
        <v>14.33</v>
      </c>
      <c r="HA12" s="42">
        <v>14.01</v>
      </c>
      <c r="HC12" s="40"/>
      <c r="HD12" s="41">
        <v>14.25</v>
      </c>
      <c r="HE12" s="42">
        <v>14.33</v>
      </c>
      <c r="HG12" s="40"/>
      <c r="HH12" s="41">
        <v>13.46</v>
      </c>
      <c r="HI12" s="41">
        <v>13.72</v>
      </c>
      <c r="HJ12" s="41">
        <v>13.71</v>
      </c>
      <c r="HK12" s="41">
        <v>13.93</v>
      </c>
      <c r="HL12" s="42">
        <v>13.93</v>
      </c>
      <c r="HN12" s="40"/>
      <c r="HO12" s="41">
        <v>13.82</v>
      </c>
      <c r="HP12" s="41">
        <v>13.7</v>
      </c>
      <c r="HQ12" s="41">
        <v>13.73</v>
      </c>
      <c r="HR12" s="42">
        <v>13.79</v>
      </c>
      <c r="HT12" s="40"/>
      <c r="HU12" s="41">
        <v>13.44</v>
      </c>
      <c r="HV12" s="41">
        <v>13.33</v>
      </c>
      <c r="HW12" s="41">
        <v>13.22</v>
      </c>
      <c r="HX12" s="42">
        <v>13.59</v>
      </c>
      <c r="HZ12" s="40"/>
      <c r="IA12" s="41">
        <v>13.69</v>
      </c>
      <c r="IB12" s="41">
        <v>13.24</v>
      </c>
      <c r="IC12" s="42">
        <v>13.34</v>
      </c>
      <c r="IE12" s="40"/>
      <c r="IF12" s="41">
        <v>13.89</v>
      </c>
      <c r="IG12" s="42">
        <v>13.86</v>
      </c>
      <c r="II12" s="40"/>
      <c r="IJ12" s="41">
        <v>13.71</v>
      </c>
      <c r="IK12" s="41">
        <v>13.72</v>
      </c>
      <c r="IL12" s="41">
        <v>13.67</v>
      </c>
      <c r="IM12" s="42"/>
      <c r="IO12" s="40"/>
      <c r="IP12" s="41">
        <v>13.19</v>
      </c>
      <c r="IQ12" s="41">
        <v>13.27</v>
      </c>
      <c r="IR12" s="41">
        <v>13.3</v>
      </c>
      <c r="IS12" s="42">
        <v>13.5</v>
      </c>
      <c r="IU12" s="40"/>
      <c r="IV12" s="41">
        <v>13.41</v>
      </c>
      <c r="IW12" s="41">
        <v>13.34</v>
      </c>
      <c r="IX12" s="42"/>
      <c r="IZ12" s="40"/>
      <c r="JA12" s="41">
        <v>13.22</v>
      </c>
      <c r="JB12" s="41">
        <v>13.31</v>
      </c>
      <c r="JC12" s="42"/>
      <c r="JE12" s="40"/>
      <c r="JF12" s="41">
        <v>13.54</v>
      </c>
      <c r="JG12" s="42">
        <v>13.48</v>
      </c>
      <c r="JI12" s="40"/>
      <c r="JJ12" s="41">
        <v>13.68</v>
      </c>
      <c r="JK12" s="41">
        <v>13.8</v>
      </c>
      <c r="JL12" s="42">
        <v>13.64</v>
      </c>
      <c r="JN12" s="40"/>
      <c r="JO12" s="41">
        <v>13.88</v>
      </c>
      <c r="JP12" s="41">
        <v>13.88</v>
      </c>
      <c r="JQ12" s="42">
        <v>13.94</v>
      </c>
      <c r="JS12" s="40"/>
      <c r="JT12" s="41">
        <v>14</v>
      </c>
      <c r="JU12" s="41">
        <v>13.91</v>
      </c>
      <c r="JV12" s="42">
        <v>13.79</v>
      </c>
      <c r="KA12" s="40"/>
      <c r="KB12" s="41">
        <v>13.56</v>
      </c>
      <c r="KC12" s="41">
        <v>13.63</v>
      </c>
      <c r="KD12" s="42">
        <v>13.69</v>
      </c>
      <c r="KI12" s="40"/>
      <c r="KJ12" s="41">
        <v>14.21</v>
      </c>
      <c r="KK12" s="41">
        <v>13.49</v>
      </c>
      <c r="KL12" s="42">
        <v>13.59</v>
      </c>
      <c r="KN12" s="40"/>
      <c r="KO12" s="41">
        <v>13.37</v>
      </c>
      <c r="KP12" s="41">
        <v>13.46</v>
      </c>
      <c r="KQ12" s="41">
        <v>13.15</v>
      </c>
      <c r="KR12" s="41">
        <v>13.38</v>
      </c>
      <c r="KS12" s="41">
        <v>13.25</v>
      </c>
      <c r="KT12" s="42"/>
    </row>
    <row r="13" spans="1:306" x14ac:dyDescent="0.25">
      <c r="A13" s="26"/>
      <c r="B13" s="23" t="s">
        <v>34</v>
      </c>
      <c r="C13" s="78">
        <f t="shared" si="5"/>
        <v>0.4</v>
      </c>
      <c r="D13" s="36">
        <v>13.65</v>
      </c>
      <c r="E13" s="24">
        <f t="shared" si="1"/>
        <v>13.25</v>
      </c>
      <c r="F13" s="24">
        <f>(14.01+14.03+14.02+14.05)/4</f>
        <v>14.0275</v>
      </c>
      <c r="G13" s="24">
        <f t="shared" si="6"/>
        <v>-0.77749999999999986</v>
      </c>
      <c r="H13" s="59">
        <f>17.19</f>
        <v>17.190000000000001</v>
      </c>
      <c r="I13" s="25">
        <f t="shared" si="3"/>
        <v>-13.365224999999999</v>
      </c>
      <c r="L13" s="40"/>
      <c r="M13" s="41">
        <v>14.4</v>
      </c>
      <c r="N13" s="41">
        <v>14.25</v>
      </c>
      <c r="O13" s="41">
        <v>14.33</v>
      </c>
      <c r="P13" s="41">
        <v>14.24</v>
      </c>
      <c r="Q13" s="42">
        <v>14.11</v>
      </c>
      <c r="S13" s="40"/>
      <c r="T13" s="41">
        <v>14.02</v>
      </c>
      <c r="U13" s="41">
        <v>13.92</v>
      </c>
      <c r="V13" s="41">
        <v>13.76</v>
      </c>
      <c r="W13" s="41">
        <v>13.66</v>
      </c>
      <c r="X13" s="69">
        <v>13.83</v>
      </c>
      <c r="Y13" s="69">
        <v>13.42</v>
      </c>
      <c r="Z13" s="41">
        <v>13.53</v>
      </c>
      <c r="AA13" s="41">
        <v>13.55</v>
      </c>
      <c r="AB13" s="41">
        <v>13.73</v>
      </c>
      <c r="AC13" s="41">
        <v>13.18</v>
      </c>
      <c r="AD13" s="41">
        <v>13.67</v>
      </c>
      <c r="AE13" s="41">
        <v>13.77</v>
      </c>
      <c r="AF13" s="41">
        <v>13.77</v>
      </c>
      <c r="AG13" s="41">
        <v>13.76</v>
      </c>
      <c r="AH13" s="42"/>
      <c r="AJ13" s="40"/>
      <c r="AK13" s="41">
        <v>13.75</v>
      </c>
      <c r="AL13" s="41">
        <v>13.73</v>
      </c>
      <c r="AM13" s="41">
        <v>13.66</v>
      </c>
      <c r="AN13" s="41">
        <v>13.6</v>
      </c>
      <c r="AO13" s="41">
        <v>13.84</v>
      </c>
      <c r="AP13" s="41">
        <v>13.92</v>
      </c>
      <c r="AQ13" s="42"/>
      <c r="AS13" s="40"/>
      <c r="AT13" s="41">
        <v>13.82</v>
      </c>
      <c r="AU13" s="41">
        <v>13.8</v>
      </c>
      <c r="AV13" s="41">
        <v>14.01</v>
      </c>
      <c r="AW13" s="41">
        <v>14.01</v>
      </c>
      <c r="AX13" s="41">
        <v>14.03</v>
      </c>
      <c r="AY13" s="41">
        <v>14.08</v>
      </c>
      <c r="AZ13" s="41">
        <v>14.11</v>
      </c>
      <c r="BA13" s="41">
        <v>14.21</v>
      </c>
      <c r="BB13" s="42">
        <v>14.18</v>
      </c>
      <c r="BD13" s="40"/>
      <c r="BE13" s="41">
        <v>13.87</v>
      </c>
      <c r="BF13" s="41">
        <v>13.49</v>
      </c>
      <c r="BG13" s="41">
        <v>13.96</v>
      </c>
      <c r="BH13" s="41">
        <v>13.9</v>
      </c>
      <c r="BI13" s="42"/>
      <c r="BK13" s="40"/>
      <c r="BL13" s="41">
        <v>13.82</v>
      </c>
      <c r="BM13" s="41">
        <v>13.96</v>
      </c>
      <c r="BN13" s="41">
        <v>13.87</v>
      </c>
      <c r="BO13" s="41">
        <v>13.72</v>
      </c>
      <c r="BP13" s="41">
        <v>13.88</v>
      </c>
      <c r="BQ13" s="41">
        <v>13.66</v>
      </c>
      <c r="BR13" s="41">
        <v>13.74</v>
      </c>
      <c r="BS13" s="41">
        <v>13.69</v>
      </c>
      <c r="BT13" s="41">
        <v>13.63</v>
      </c>
      <c r="BU13" s="41">
        <v>13.68</v>
      </c>
      <c r="BV13" s="41">
        <v>13.77</v>
      </c>
      <c r="BW13" s="42"/>
      <c r="BY13" s="40"/>
      <c r="BZ13" s="41">
        <v>13.59</v>
      </c>
      <c r="CA13" s="41">
        <v>13.33</v>
      </c>
      <c r="CB13" s="41">
        <v>13.76</v>
      </c>
      <c r="CC13" s="42"/>
      <c r="CE13" s="40"/>
      <c r="CF13" s="41">
        <v>13.68</v>
      </c>
      <c r="CG13" s="41">
        <v>13.71</v>
      </c>
      <c r="CH13" s="42">
        <v>13.69</v>
      </c>
      <c r="CJ13" s="40"/>
      <c r="CK13" s="41">
        <v>13.9</v>
      </c>
      <c r="CL13" s="41">
        <v>14.09</v>
      </c>
      <c r="CM13" s="41">
        <v>14.26</v>
      </c>
      <c r="CN13" s="41">
        <v>13.93</v>
      </c>
      <c r="CO13" s="42"/>
      <c r="CQ13" s="40"/>
      <c r="CR13" s="41">
        <v>14.25</v>
      </c>
      <c r="CS13" s="41">
        <v>14.16</v>
      </c>
      <c r="CT13" s="42"/>
      <c r="CV13" s="40"/>
      <c r="CW13" s="42">
        <v>13.8</v>
      </c>
      <c r="CY13" s="40"/>
      <c r="CZ13" s="41">
        <v>13.64</v>
      </c>
      <c r="DA13" s="41">
        <v>13.42</v>
      </c>
      <c r="DB13" s="42">
        <v>13.6</v>
      </c>
      <c r="DD13" s="40"/>
      <c r="DE13" s="41">
        <v>13.41</v>
      </c>
      <c r="DF13" s="41">
        <v>13.41</v>
      </c>
      <c r="DG13" s="41">
        <v>13.45</v>
      </c>
      <c r="DH13" s="42">
        <v>13.13</v>
      </c>
      <c r="DJ13" s="40"/>
      <c r="DK13" s="41">
        <v>13.59</v>
      </c>
      <c r="DL13" s="41">
        <v>13.87</v>
      </c>
      <c r="DM13" s="42">
        <v>13.4</v>
      </c>
      <c r="DO13" s="40"/>
      <c r="DP13" s="41">
        <v>13.43</v>
      </c>
      <c r="DQ13" s="41">
        <v>13.46</v>
      </c>
      <c r="DR13" s="41">
        <v>13.3</v>
      </c>
      <c r="DS13" s="41">
        <v>13.4</v>
      </c>
      <c r="DT13" s="42">
        <v>13.87</v>
      </c>
      <c r="DV13" s="40"/>
      <c r="DW13" s="41">
        <v>13.64</v>
      </c>
      <c r="DX13" s="41">
        <v>13.51</v>
      </c>
      <c r="DY13" s="42">
        <v>13.48</v>
      </c>
      <c r="EA13" s="40"/>
      <c r="EB13" s="41">
        <v>13.16</v>
      </c>
      <c r="EC13" s="41">
        <v>13.21</v>
      </c>
      <c r="ED13" s="41">
        <v>13.38</v>
      </c>
      <c r="EE13" s="41">
        <v>13.28</v>
      </c>
      <c r="EF13" s="42"/>
      <c r="EH13" s="40"/>
      <c r="EI13" s="41">
        <v>14.05</v>
      </c>
      <c r="EJ13" s="42">
        <v>13.33</v>
      </c>
      <c r="EL13" s="40"/>
      <c r="EM13" s="41">
        <v>13.49</v>
      </c>
      <c r="EN13" s="42"/>
      <c r="EV13" s="40"/>
      <c r="EW13" s="42">
        <v>13.99</v>
      </c>
      <c r="EY13" s="40"/>
      <c r="EZ13" s="42">
        <v>13.94</v>
      </c>
      <c r="FA13" s="46"/>
      <c r="FB13" s="40"/>
      <c r="FC13" s="42">
        <v>13.67</v>
      </c>
      <c r="FD13" s="46"/>
      <c r="FE13" s="40"/>
      <c r="FF13" s="41">
        <v>13.85</v>
      </c>
      <c r="FG13" s="42"/>
      <c r="FI13" s="40"/>
      <c r="FJ13" s="41">
        <v>13.58</v>
      </c>
      <c r="FK13" s="42">
        <v>13.58</v>
      </c>
      <c r="FM13" s="40"/>
      <c r="FN13" s="41">
        <v>13.62</v>
      </c>
      <c r="FO13" s="41">
        <v>13.57</v>
      </c>
      <c r="FP13" s="41">
        <v>13.71</v>
      </c>
      <c r="FQ13" s="41">
        <v>13.49</v>
      </c>
      <c r="FR13" s="41">
        <v>13.6</v>
      </c>
      <c r="FS13" s="42"/>
      <c r="GC13" s="40"/>
      <c r="GD13" s="41">
        <v>13.99</v>
      </c>
      <c r="GE13" s="41">
        <v>13.88</v>
      </c>
      <c r="GF13" s="42"/>
      <c r="GH13" s="40"/>
      <c r="GI13" s="42"/>
      <c r="GK13" s="40"/>
      <c r="GL13" s="41">
        <v>13.66</v>
      </c>
      <c r="GM13" s="42">
        <v>13.56</v>
      </c>
      <c r="GO13" s="40"/>
      <c r="GP13" s="41">
        <v>13.35</v>
      </c>
      <c r="GQ13" s="42"/>
      <c r="GS13" s="40"/>
      <c r="GT13" s="41">
        <v>13.46</v>
      </c>
      <c r="GU13" s="41">
        <v>13.78</v>
      </c>
      <c r="GV13" s="42">
        <v>14.05</v>
      </c>
      <c r="GX13" s="40"/>
      <c r="GY13" s="41">
        <v>14.45</v>
      </c>
      <c r="GZ13" s="41">
        <v>14.32</v>
      </c>
      <c r="HA13" s="42">
        <v>13.98</v>
      </c>
      <c r="HC13" s="40"/>
      <c r="HD13" s="41">
        <v>14.06</v>
      </c>
      <c r="HE13" s="42">
        <v>13.92</v>
      </c>
      <c r="HG13" s="40"/>
      <c r="HH13" s="41">
        <v>13.64</v>
      </c>
      <c r="HI13" s="41">
        <v>13.82</v>
      </c>
      <c r="HJ13" s="41">
        <v>13.63</v>
      </c>
      <c r="HK13" s="41">
        <v>13.95</v>
      </c>
      <c r="HL13" s="42">
        <v>13.91</v>
      </c>
      <c r="HN13" s="40"/>
      <c r="HO13" s="41">
        <v>13.73</v>
      </c>
      <c r="HP13" s="41">
        <v>13.74</v>
      </c>
      <c r="HQ13" s="41">
        <v>13.47</v>
      </c>
      <c r="HR13" s="42">
        <v>13.78</v>
      </c>
      <c r="HT13" s="40"/>
      <c r="HU13" s="41">
        <v>13.57</v>
      </c>
      <c r="HV13" s="41">
        <v>13.67</v>
      </c>
      <c r="HW13" s="41">
        <v>13.37</v>
      </c>
      <c r="HX13" s="42">
        <v>13.48</v>
      </c>
      <c r="HZ13" s="40"/>
      <c r="IA13" s="41">
        <v>13.63</v>
      </c>
      <c r="IB13" s="41">
        <v>13.42</v>
      </c>
      <c r="IC13" s="42"/>
      <c r="IE13" s="40"/>
      <c r="IF13" s="41">
        <v>13.88</v>
      </c>
      <c r="IG13" s="42"/>
      <c r="II13" s="40"/>
      <c r="IJ13" s="41">
        <v>13.74</v>
      </c>
      <c r="IK13" s="41">
        <v>13.7</v>
      </c>
      <c r="IL13" s="41">
        <v>13.62</v>
      </c>
      <c r="IM13" s="42"/>
      <c r="IO13" s="40"/>
      <c r="IP13" s="41">
        <v>13.23</v>
      </c>
      <c r="IQ13" s="41">
        <v>13.27</v>
      </c>
      <c r="IR13" s="41">
        <v>13.29</v>
      </c>
      <c r="IS13" s="42">
        <v>13.5</v>
      </c>
      <c r="IU13" s="40"/>
      <c r="IV13" s="41">
        <v>13.46</v>
      </c>
      <c r="IW13" s="41">
        <v>13.35</v>
      </c>
      <c r="IX13" s="42"/>
      <c r="IZ13" s="40"/>
      <c r="JA13" s="41">
        <v>13.2</v>
      </c>
      <c r="JB13" s="41">
        <v>13.46</v>
      </c>
      <c r="JC13" s="42"/>
      <c r="JE13" s="40"/>
      <c r="JF13" s="41">
        <v>13.55</v>
      </c>
      <c r="JG13" s="42">
        <v>13.33</v>
      </c>
      <c r="JI13" s="40"/>
      <c r="JJ13" s="41">
        <v>13.69</v>
      </c>
      <c r="JK13" s="41">
        <v>13.79</v>
      </c>
      <c r="JL13" s="42">
        <v>13.67</v>
      </c>
      <c r="JN13" s="40"/>
      <c r="JO13" s="41">
        <v>13.9</v>
      </c>
      <c r="JP13" s="41">
        <v>13.88</v>
      </c>
      <c r="JQ13" s="42">
        <v>13.92</v>
      </c>
      <c r="JS13" s="40"/>
      <c r="JT13" s="41">
        <v>14</v>
      </c>
      <c r="JU13" s="41">
        <v>13.93</v>
      </c>
      <c r="JV13" s="42">
        <v>13.74</v>
      </c>
      <c r="KA13" s="40"/>
      <c r="KB13" s="41">
        <v>13.56</v>
      </c>
      <c r="KC13" s="41">
        <v>13.63</v>
      </c>
      <c r="KD13" s="42">
        <v>13.72</v>
      </c>
      <c r="KI13" s="40"/>
      <c r="KJ13" s="41">
        <v>14.23</v>
      </c>
      <c r="KK13" s="41">
        <v>13.43</v>
      </c>
      <c r="KL13" s="42">
        <v>13.52</v>
      </c>
      <c r="KN13" s="40"/>
      <c r="KO13" s="41">
        <v>13.31</v>
      </c>
      <c r="KP13" s="41">
        <v>13.32</v>
      </c>
      <c r="KQ13" s="41">
        <v>13.18</v>
      </c>
      <c r="KR13" s="41">
        <v>13.4</v>
      </c>
      <c r="KS13" s="41">
        <v>13.28</v>
      </c>
      <c r="KT13" s="42"/>
    </row>
    <row r="14" spans="1:306" x14ac:dyDescent="0.25">
      <c r="A14" s="22"/>
      <c r="B14" s="23" t="s">
        <v>34</v>
      </c>
      <c r="C14" s="78">
        <f t="shared" si="5"/>
        <v>0.4</v>
      </c>
      <c r="D14" s="36">
        <f>CW47</f>
        <v>13.824999999999998</v>
      </c>
      <c r="E14" s="24">
        <f t="shared" si="1"/>
        <v>13.424999999999997</v>
      </c>
      <c r="F14" s="24">
        <f>CW23</f>
        <v>13.500999999999999</v>
      </c>
      <c r="G14" s="24">
        <f t="shared" si="6"/>
        <v>-7.6000000000002288E-2</v>
      </c>
      <c r="H14" s="59">
        <f>108.47</f>
        <v>108.47</v>
      </c>
      <c r="I14" s="25">
        <f t="shared" si="3"/>
        <v>-8.2437200000002484</v>
      </c>
      <c r="L14" s="40"/>
      <c r="M14" s="41">
        <v>14.44</v>
      </c>
      <c r="N14" s="41">
        <v>14.42</v>
      </c>
      <c r="O14" s="41">
        <v>14.32</v>
      </c>
      <c r="P14" s="41">
        <v>14.21</v>
      </c>
      <c r="Q14" s="42">
        <v>14.1</v>
      </c>
      <c r="S14" s="40"/>
      <c r="T14" s="41">
        <v>14.04</v>
      </c>
      <c r="U14" s="41">
        <v>13.85</v>
      </c>
      <c r="V14" s="41">
        <v>13.78</v>
      </c>
      <c r="W14" s="41">
        <v>13.3</v>
      </c>
      <c r="X14" s="69">
        <v>13.39</v>
      </c>
      <c r="Y14" s="69">
        <v>13.48</v>
      </c>
      <c r="Z14" s="41">
        <v>13.78</v>
      </c>
      <c r="AA14" s="41">
        <v>13.76</v>
      </c>
      <c r="AB14" s="41">
        <v>13.73</v>
      </c>
      <c r="AC14" s="41">
        <v>13.29</v>
      </c>
      <c r="AD14" s="41">
        <v>13.76</v>
      </c>
      <c r="AE14" s="41">
        <v>13.77</v>
      </c>
      <c r="AF14" s="41">
        <v>13.66</v>
      </c>
      <c r="AG14" s="41">
        <v>13.77</v>
      </c>
      <c r="AH14" s="42"/>
      <c r="AJ14" s="40"/>
      <c r="AK14" s="41">
        <v>13.65</v>
      </c>
      <c r="AL14" s="41">
        <v>13.59</v>
      </c>
      <c r="AM14" s="41">
        <v>13.45</v>
      </c>
      <c r="AN14" s="41">
        <v>13.88</v>
      </c>
      <c r="AO14" s="41">
        <v>13.93</v>
      </c>
      <c r="AP14" s="41">
        <v>13.96</v>
      </c>
      <c r="AQ14" s="42"/>
      <c r="AS14" s="40"/>
      <c r="AT14" s="41">
        <v>13.85</v>
      </c>
      <c r="AU14" s="41">
        <v>13.9</v>
      </c>
      <c r="AV14" s="41">
        <v>14.01</v>
      </c>
      <c r="AW14" s="41">
        <v>14.06</v>
      </c>
      <c r="AX14" s="41">
        <v>14.27</v>
      </c>
      <c r="AY14" s="41">
        <v>14.12</v>
      </c>
      <c r="AZ14" s="41">
        <v>14.06</v>
      </c>
      <c r="BA14" s="41">
        <v>14.15</v>
      </c>
      <c r="BB14" s="42">
        <v>14.16</v>
      </c>
      <c r="BD14" s="40"/>
      <c r="BE14" s="41">
        <v>13.62</v>
      </c>
      <c r="BF14" s="41">
        <v>13.62</v>
      </c>
      <c r="BG14" s="41">
        <v>13.96</v>
      </c>
      <c r="BH14" s="41">
        <v>13.91</v>
      </c>
      <c r="BI14" s="42"/>
      <c r="BK14" s="40"/>
      <c r="BL14" s="41">
        <v>13.9</v>
      </c>
      <c r="BM14" s="41">
        <v>13.97</v>
      </c>
      <c r="BN14" s="41">
        <v>13.45</v>
      </c>
      <c r="BO14" s="41">
        <v>13.5</v>
      </c>
      <c r="BP14" s="41">
        <v>13.58</v>
      </c>
      <c r="BQ14" s="41">
        <v>13.89</v>
      </c>
      <c r="BR14" s="41">
        <v>13.77</v>
      </c>
      <c r="BS14" s="41">
        <v>13.68</v>
      </c>
      <c r="BT14" s="41">
        <v>13.33</v>
      </c>
      <c r="BU14" s="41">
        <v>13.55</v>
      </c>
      <c r="BV14" s="41">
        <v>13.68</v>
      </c>
      <c r="BW14" s="42"/>
      <c r="BY14" s="40"/>
      <c r="BZ14" s="41">
        <v>13.54</v>
      </c>
      <c r="CA14" s="41">
        <v>13.4</v>
      </c>
      <c r="CB14" s="41">
        <v>13.79</v>
      </c>
      <c r="CC14" s="42"/>
      <c r="CE14" s="40"/>
      <c r="CF14" s="41">
        <v>13.7</v>
      </c>
      <c r="CG14" s="41">
        <v>13.73</v>
      </c>
      <c r="CH14" s="42"/>
      <c r="CJ14" s="40"/>
      <c r="CK14" s="41">
        <v>13.91</v>
      </c>
      <c r="CL14" s="41">
        <v>13.82</v>
      </c>
      <c r="CM14" s="41">
        <v>13.91</v>
      </c>
      <c r="CN14" s="41">
        <v>13.82</v>
      </c>
      <c r="CO14" s="42"/>
      <c r="CQ14" s="40"/>
      <c r="CR14" s="41">
        <v>14.28</v>
      </c>
      <c r="CS14" s="41">
        <v>13.98</v>
      </c>
      <c r="CT14" s="42"/>
      <c r="CV14" s="40"/>
      <c r="CW14" s="42">
        <v>13.22</v>
      </c>
      <c r="CY14" s="40"/>
      <c r="CZ14" s="41">
        <v>13.58</v>
      </c>
      <c r="DA14" s="41">
        <v>13.49</v>
      </c>
      <c r="DB14" s="42">
        <v>13.55</v>
      </c>
      <c r="DD14" s="40"/>
      <c r="DE14" s="41">
        <v>13.33</v>
      </c>
      <c r="DF14" s="41">
        <v>13.36</v>
      </c>
      <c r="DG14" s="41">
        <v>13.14</v>
      </c>
      <c r="DH14" s="42">
        <v>13.29</v>
      </c>
      <c r="DJ14" s="40"/>
      <c r="DK14" s="41">
        <v>13.02</v>
      </c>
      <c r="DL14" s="41">
        <v>13.31</v>
      </c>
      <c r="DM14" s="42">
        <v>13.39</v>
      </c>
      <c r="DO14" s="40"/>
      <c r="DP14" s="41">
        <v>13.41</v>
      </c>
      <c r="DQ14" s="41">
        <v>13.53</v>
      </c>
      <c r="DR14" s="41">
        <v>13.26</v>
      </c>
      <c r="DS14" s="41">
        <v>13.24</v>
      </c>
      <c r="DT14" s="42">
        <v>13.88</v>
      </c>
      <c r="DV14" s="40"/>
      <c r="DW14" s="41">
        <v>13.65</v>
      </c>
      <c r="DX14" s="41">
        <v>13.4</v>
      </c>
      <c r="DY14" s="42">
        <v>13.65</v>
      </c>
      <c r="EA14" s="40"/>
      <c r="EB14" s="41">
        <v>13.26</v>
      </c>
      <c r="EC14" s="41">
        <v>13.41</v>
      </c>
      <c r="ED14" s="41">
        <v>13.42</v>
      </c>
      <c r="EE14" s="41">
        <v>13.39</v>
      </c>
      <c r="EF14" s="42"/>
      <c r="EH14" s="40"/>
      <c r="EI14" s="41">
        <v>13.46</v>
      </c>
      <c r="EJ14" s="42">
        <v>13.22</v>
      </c>
      <c r="EL14" s="40"/>
      <c r="EM14" s="41">
        <v>13.48</v>
      </c>
      <c r="EN14" s="42"/>
      <c r="EV14" s="40"/>
      <c r="EW14" s="42">
        <v>13.98</v>
      </c>
      <c r="EY14" s="40"/>
      <c r="EZ14" s="42">
        <v>13.93</v>
      </c>
      <c r="FA14" s="46"/>
      <c r="FB14" s="40"/>
      <c r="FC14" s="42">
        <v>13.68</v>
      </c>
      <c r="FD14" s="46"/>
      <c r="FE14" s="40"/>
      <c r="FF14" s="41">
        <v>13.87</v>
      </c>
      <c r="FG14" s="42"/>
      <c r="FI14" s="40"/>
      <c r="FJ14" s="41">
        <v>13.65</v>
      </c>
      <c r="FK14" s="42">
        <v>13.62</v>
      </c>
      <c r="FM14" s="40"/>
      <c r="FN14" s="41">
        <v>13.73</v>
      </c>
      <c r="FO14" s="41">
        <v>13.66</v>
      </c>
      <c r="FP14" s="41">
        <v>13.79</v>
      </c>
      <c r="FQ14" s="41">
        <v>13.64</v>
      </c>
      <c r="FR14" s="41">
        <v>13.91</v>
      </c>
      <c r="FS14" s="42"/>
      <c r="GC14" s="40"/>
      <c r="GD14" s="41">
        <v>13.99</v>
      </c>
      <c r="GE14" s="41">
        <v>13.88</v>
      </c>
      <c r="GF14" s="42"/>
      <c r="GH14" s="40"/>
      <c r="GI14" s="42"/>
      <c r="GK14" s="40"/>
      <c r="GL14" s="41">
        <v>13.65</v>
      </c>
      <c r="GM14" s="42">
        <v>13.56</v>
      </c>
      <c r="GO14" s="40"/>
      <c r="GP14" s="41">
        <v>13.63</v>
      </c>
      <c r="GQ14" s="42"/>
      <c r="GS14" s="40"/>
      <c r="GT14" s="41">
        <v>13.48</v>
      </c>
      <c r="GU14" s="41">
        <v>13.75</v>
      </c>
      <c r="GV14" s="42">
        <v>14.04</v>
      </c>
      <c r="GX14" s="40"/>
      <c r="GY14" s="41">
        <v>14.44</v>
      </c>
      <c r="GZ14" s="41">
        <v>14.31</v>
      </c>
      <c r="HA14" s="42">
        <v>14</v>
      </c>
      <c r="HC14" s="40"/>
      <c r="HD14" s="41">
        <v>14.19</v>
      </c>
      <c r="HE14" s="42">
        <v>13.98</v>
      </c>
      <c r="HG14" s="40"/>
      <c r="HH14" s="41">
        <v>13.77</v>
      </c>
      <c r="HI14" s="41">
        <v>13.85</v>
      </c>
      <c r="HJ14" s="41">
        <v>13.76</v>
      </c>
      <c r="HK14" s="41">
        <v>13.94</v>
      </c>
      <c r="HL14" s="42">
        <v>14.1</v>
      </c>
      <c r="HN14" s="40"/>
      <c r="HO14" s="41">
        <v>13.81</v>
      </c>
      <c r="HP14" s="41">
        <v>13.75</v>
      </c>
      <c r="HQ14" s="41">
        <v>13.63</v>
      </c>
      <c r="HR14" s="42"/>
      <c r="HT14" s="40"/>
      <c r="HU14" s="41">
        <v>13.32</v>
      </c>
      <c r="HV14" s="41">
        <v>13.21</v>
      </c>
      <c r="HW14" s="41">
        <v>13.61</v>
      </c>
      <c r="HX14" s="42">
        <v>13.54</v>
      </c>
      <c r="HZ14" s="40"/>
      <c r="IA14" s="41">
        <v>13.68</v>
      </c>
      <c r="IB14" s="41">
        <v>13.22</v>
      </c>
      <c r="IC14" s="42"/>
      <c r="IE14" s="40"/>
      <c r="IF14" s="41">
        <v>13.92</v>
      </c>
      <c r="IG14" s="42"/>
      <c r="II14" s="40"/>
      <c r="IJ14" s="41">
        <v>13.73</v>
      </c>
      <c r="IK14" s="41">
        <v>13.67</v>
      </c>
      <c r="IL14" s="41">
        <v>13.65</v>
      </c>
      <c r="IM14" s="42"/>
      <c r="IO14" s="40"/>
      <c r="IP14" s="41">
        <v>13.35</v>
      </c>
      <c r="IQ14" s="41">
        <v>13.5</v>
      </c>
      <c r="IR14" s="41">
        <v>13.29</v>
      </c>
      <c r="IS14" s="42">
        <v>13.5</v>
      </c>
      <c r="IU14" s="40"/>
      <c r="IV14" s="41">
        <v>13.38</v>
      </c>
      <c r="IW14" s="41">
        <v>13.37</v>
      </c>
      <c r="IX14" s="42"/>
      <c r="IZ14" s="40"/>
      <c r="JA14" s="41">
        <v>13.18</v>
      </c>
      <c r="JB14" s="41">
        <v>13.42</v>
      </c>
      <c r="JC14" s="42"/>
      <c r="JE14" s="40"/>
      <c r="JF14" s="41">
        <v>13.49</v>
      </c>
      <c r="JG14" s="42">
        <v>13.48</v>
      </c>
      <c r="JI14" s="40"/>
      <c r="JJ14" s="41">
        <v>13.69</v>
      </c>
      <c r="JK14" s="41">
        <v>13.77</v>
      </c>
      <c r="JL14" s="42">
        <v>13.66</v>
      </c>
      <c r="JN14" s="40"/>
      <c r="JO14" s="41">
        <v>13.92</v>
      </c>
      <c r="JP14" s="41">
        <v>13.86</v>
      </c>
      <c r="JQ14" s="42">
        <v>13.97</v>
      </c>
      <c r="JS14" s="40"/>
      <c r="JT14" s="41">
        <v>13.99</v>
      </c>
      <c r="JU14" s="41">
        <v>13.9</v>
      </c>
      <c r="JV14" s="42">
        <v>13.8</v>
      </c>
      <c r="KA14" s="40"/>
      <c r="KB14" s="41">
        <v>13.56</v>
      </c>
      <c r="KC14" s="41">
        <v>13.62</v>
      </c>
      <c r="KD14" s="42">
        <v>13.72</v>
      </c>
      <c r="KI14" s="40"/>
      <c r="KJ14" s="41">
        <v>13.59</v>
      </c>
      <c r="KK14" s="41">
        <v>13.32</v>
      </c>
      <c r="KL14" s="42">
        <v>13.73</v>
      </c>
      <c r="KN14" s="40"/>
      <c r="KO14" s="41">
        <v>13.44</v>
      </c>
      <c r="KP14" s="41">
        <v>13.32</v>
      </c>
      <c r="KQ14" s="41">
        <v>13.2</v>
      </c>
      <c r="KR14" s="41">
        <v>13.39</v>
      </c>
      <c r="KS14" s="41">
        <v>13.32</v>
      </c>
      <c r="KT14" s="42"/>
    </row>
    <row r="15" spans="1:306" x14ac:dyDescent="0.25">
      <c r="A15" s="22"/>
      <c r="B15" s="23" t="s">
        <v>34</v>
      </c>
      <c r="C15" s="78">
        <f t="shared" si="5"/>
        <v>0.4</v>
      </c>
      <c r="D15" s="36">
        <f>CZ47</f>
        <v>13.778999999999996</v>
      </c>
      <c r="E15" s="24">
        <f t="shared" si="1"/>
        <v>13.378999999999996</v>
      </c>
      <c r="F15" s="36">
        <f>DB23</f>
        <v>13.506666666666669</v>
      </c>
      <c r="G15" s="24">
        <f t="shared" si="6"/>
        <v>-0.12766666666667348</v>
      </c>
      <c r="H15" s="59">
        <f>405.17</f>
        <v>405.17</v>
      </c>
      <c r="I15" s="25">
        <f>H15*G15</f>
        <v>-51.726703333336097</v>
      </c>
      <c r="L15" s="40"/>
      <c r="M15" s="41">
        <v>14.29</v>
      </c>
      <c r="N15" s="41">
        <v>14.41</v>
      </c>
      <c r="O15" s="41">
        <v>14.35</v>
      </c>
      <c r="P15" s="41">
        <v>13.98</v>
      </c>
      <c r="Q15" s="42">
        <v>14.11</v>
      </c>
      <c r="S15" s="40"/>
      <c r="T15" s="41">
        <v>14.03</v>
      </c>
      <c r="U15" s="41">
        <v>13.84</v>
      </c>
      <c r="V15" s="41">
        <v>13.75</v>
      </c>
      <c r="W15" s="41">
        <v>13.84</v>
      </c>
      <c r="X15" s="69">
        <v>13.49</v>
      </c>
      <c r="Y15" s="69">
        <v>13.58</v>
      </c>
      <c r="Z15" s="41">
        <v>13.81</v>
      </c>
      <c r="AA15" s="41">
        <v>13.8</v>
      </c>
      <c r="AB15" s="41">
        <v>13.73</v>
      </c>
      <c r="AC15" s="41">
        <v>13.44</v>
      </c>
      <c r="AD15" s="41">
        <v>13.72</v>
      </c>
      <c r="AE15" s="41">
        <v>13.27</v>
      </c>
      <c r="AF15" s="41">
        <v>13.71</v>
      </c>
      <c r="AG15" s="41">
        <v>13.78</v>
      </c>
      <c r="AH15" s="42"/>
      <c r="AJ15" s="40"/>
      <c r="AK15" s="41">
        <v>13.79</v>
      </c>
      <c r="AL15" s="41">
        <v>13.71</v>
      </c>
      <c r="AM15" s="41">
        <v>13.86</v>
      </c>
      <c r="AN15" s="41">
        <v>13.6</v>
      </c>
      <c r="AO15" s="41">
        <v>13.93</v>
      </c>
      <c r="AP15" s="41">
        <v>13.86</v>
      </c>
      <c r="AQ15" s="42"/>
      <c r="AS15" s="40"/>
      <c r="AT15" s="41">
        <v>13.87</v>
      </c>
      <c r="AU15" s="41">
        <v>14.22</v>
      </c>
      <c r="AV15" s="41">
        <v>14.02</v>
      </c>
      <c r="AW15" s="41">
        <v>14.12</v>
      </c>
      <c r="AX15" s="41">
        <v>14.18</v>
      </c>
      <c r="AY15" s="41">
        <v>14.08</v>
      </c>
      <c r="AZ15" s="41">
        <v>13.9</v>
      </c>
      <c r="BA15" s="41">
        <v>13.94</v>
      </c>
      <c r="BB15" s="42">
        <v>13.94</v>
      </c>
      <c r="BD15" s="40"/>
      <c r="BE15" s="41">
        <v>13.87</v>
      </c>
      <c r="BF15" s="41">
        <v>13.9</v>
      </c>
      <c r="BG15" s="41">
        <v>13.55</v>
      </c>
      <c r="BH15" s="41">
        <v>13.41</v>
      </c>
      <c r="BI15" s="42"/>
      <c r="BK15" s="40"/>
      <c r="BL15" s="41">
        <v>13.89</v>
      </c>
      <c r="BM15" s="41">
        <v>13.39</v>
      </c>
      <c r="BN15" s="41">
        <v>14.02</v>
      </c>
      <c r="BO15" s="41">
        <v>13.79</v>
      </c>
      <c r="BP15" s="41">
        <v>13.87</v>
      </c>
      <c r="BQ15" s="41">
        <v>13.89</v>
      </c>
      <c r="BR15" s="41">
        <v>13.31</v>
      </c>
      <c r="BS15" s="41">
        <v>13.67</v>
      </c>
      <c r="BT15" s="41">
        <v>13.64</v>
      </c>
      <c r="BU15" s="41">
        <v>13.77</v>
      </c>
      <c r="BV15" s="41">
        <v>13.77</v>
      </c>
      <c r="BW15" s="42"/>
      <c r="BY15" s="40"/>
      <c r="BZ15" s="41">
        <v>13.57</v>
      </c>
      <c r="CA15" s="41">
        <v>13.7</v>
      </c>
      <c r="CB15" s="41">
        <v>13.36</v>
      </c>
      <c r="CC15" s="42"/>
      <c r="CE15" s="40"/>
      <c r="CF15" s="41">
        <v>13.73</v>
      </c>
      <c r="CG15" s="41">
        <v>13.75</v>
      </c>
      <c r="CH15" s="42"/>
      <c r="CJ15" s="40"/>
      <c r="CK15" s="41">
        <v>13.85</v>
      </c>
      <c r="CL15" s="41">
        <v>14.1</v>
      </c>
      <c r="CM15" s="41">
        <v>14.19</v>
      </c>
      <c r="CN15" s="41">
        <v>13.93</v>
      </c>
      <c r="CO15" s="42"/>
      <c r="CQ15" s="40"/>
      <c r="CR15" s="41">
        <v>14.25</v>
      </c>
      <c r="CS15" s="41">
        <v>14</v>
      </c>
      <c r="CT15" s="42"/>
      <c r="CV15" s="40"/>
      <c r="CW15" s="42">
        <v>13.31</v>
      </c>
      <c r="CY15" s="40"/>
      <c r="CZ15" s="41">
        <v>13.55</v>
      </c>
      <c r="DA15" s="41">
        <v>13.3</v>
      </c>
      <c r="DB15" s="42">
        <v>13.42</v>
      </c>
      <c r="DD15" s="40"/>
      <c r="DE15" s="41">
        <v>13.31</v>
      </c>
      <c r="DF15" s="41">
        <v>13.42</v>
      </c>
      <c r="DG15" s="41">
        <v>13.47</v>
      </c>
      <c r="DH15" s="42">
        <v>13.16</v>
      </c>
      <c r="DJ15" s="40"/>
      <c r="DK15" s="41">
        <v>13.62</v>
      </c>
      <c r="DL15" s="41">
        <v>13.79</v>
      </c>
      <c r="DM15" s="42">
        <v>13.42</v>
      </c>
      <c r="DO15" s="40"/>
      <c r="DP15" s="41">
        <v>13.52</v>
      </c>
      <c r="DQ15" s="41">
        <v>13.4</v>
      </c>
      <c r="DR15" s="41">
        <v>13.22</v>
      </c>
      <c r="DS15" s="41">
        <v>13.18</v>
      </c>
      <c r="DT15" s="42"/>
      <c r="DV15" s="40"/>
      <c r="DW15" s="41">
        <v>13.63</v>
      </c>
      <c r="DX15" s="41">
        <v>13.4</v>
      </c>
      <c r="DY15" s="42">
        <v>13.43</v>
      </c>
      <c r="EA15" s="40"/>
      <c r="EB15" s="41">
        <v>13.16</v>
      </c>
      <c r="EC15" s="41">
        <v>13.29</v>
      </c>
      <c r="ED15" s="41">
        <v>13.32</v>
      </c>
      <c r="EE15" s="41">
        <v>13.3</v>
      </c>
      <c r="EF15" s="42"/>
      <c r="EH15" s="40"/>
      <c r="EI15" s="41">
        <v>13.45</v>
      </c>
      <c r="EJ15" s="42">
        <v>13.37</v>
      </c>
      <c r="EL15" s="40"/>
      <c r="EM15" s="41">
        <v>13.52</v>
      </c>
      <c r="EN15" s="42"/>
      <c r="EV15" s="40"/>
      <c r="EW15" s="42">
        <v>13.98</v>
      </c>
      <c r="EY15" s="40"/>
      <c r="EZ15" s="42"/>
      <c r="FA15" s="46"/>
      <c r="FB15" s="40"/>
      <c r="FC15" s="42">
        <v>13.69</v>
      </c>
      <c r="FD15" s="46"/>
      <c r="FE15" s="40"/>
      <c r="FF15" s="41">
        <v>13.86</v>
      </c>
      <c r="FG15" s="42"/>
      <c r="FI15" s="40"/>
      <c r="FJ15" s="41">
        <v>13.62</v>
      </c>
      <c r="FK15" s="42">
        <v>13.6</v>
      </c>
      <c r="FM15" s="40"/>
      <c r="FN15" s="41">
        <v>13.57</v>
      </c>
      <c r="FO15" s="41">
        <v>13.67</v>
      </c>
      <c r="FP15" s="41">
        <v>13.56</v>
      </c>
      <c r="FQ15" s="41">
        <v>13.48</v>
      </c>
      <c r="FR15" s="41">
        <v>13.64</v>
      </c>
      <c r="FS15" s="42"/>
      <c r="GC15" s="40"/>
      <c r="GD15" s="41">
        <v>13.98</v>
      </c>
      <c r="GE15" s="41">
        <v>13.84</v>
      </c>
      <c r="GF15" s="42"/>
      <c r="GH15" s="40"/>
      <c r="GI15" s="42"/>
      <c r="GK15" s="40"/>
      <c r="GL15" s="41">
        <v>13.63</v>
      </c>
      <c r="GM15" s="42">
        <v>13.56</v>
      </c>
      <c r="GO15" s="40"/>
      <c r="GP15" s="41">
        <v>13.64</v>
      </c>
      <c r="GQ15" s="42"/>
      <c r="GS15" s="40"/>
      <c r="GT15" s="41">
        <v>13.55</v>
      </c>
      <c r="GU15" s="41">
        <v>13.72</v>
      </c>
      <c r="GV15" s="42">
        <v>14.04</v>
      </c>
      <c r="GX15" s="40"/>
      <c r="GY15" s="41">
        <v>14.44</v>
      </c>
      <c r="GZ15" s="41">
        <v>14.3</v>
      </c>
      <c r="HA15" s="42">
        <v>13.96</v>
      </c>
      <c r="HC15" s="40"/>
      <c r="HD15" s="41">
        <v>13.98</v>
      </c>
      <c r="HE15" s="42">
        <v>14.1</v>
      </c>
      <c r="HG15" s="40"/>
      <c r="HH15" s="41">
        <v>13.55</v>
      </c>
      <c r="HI15" s="41">
        <v>13.65</v>
      </c>
      <c r="HJ15" s="41">
        <v>13.88</v>
      </c>
      <c r="HK15" s="41">
        <v>13.91</v>
      </c>
      <c r="HL15" s="42">
        <v>14.04</v>
      </c>
      <c r="HN15" s="40"/>
      <c r="HO15" s="41">
        <v>13.68</v>
      </c>
      <c r="HP15" s="41">
        <v>13.68</v>
      </c>
      <c r="HQ15" s="41">
        <v>13.74</v>
      </c>
      <c r="HR15" s="42"/>
      <c r="HT15" s="40"/>
      <c r="HU15" s="41">
        <v>13.46</v>
      </c>
      <c r="HV15" s="41">
        <v>13.63</v>
      </c>
      <c r="HW15" s="41">
        <v>13.31</v>
      </c>
      <c r="HX15" s="42">
        <v>13.54</v>
      </c>
      <c r="HZ15" s="40"/>
      <c r="IA15" s="41">
        <v>13.64</v>
      </c>
      <c r="IB15" s="41">
        <v>13.33</v>
      </c>
      <c r="IC15" s="42"/>
      <c r="IE15" s="40"/>
      <c r="IF15" s="41">
        <v>13.89</v>
      </c>
      <c r="IG15" s="42"/>
      <c r="II15" s="40"/>
      <c r="IJ15" s="41">
        <v>13.76</v>
      </c>
      <c r="IK15" s="41">
        <v>13.69</v>
      </c>
      <c r="IL15" s="41">
        <v>13.64</v>
      </c>
      <c r="IM15" s="42"/>
      <c r="IO15" s="40"/>
      <c r="IP15" s="41">
        <v>13.3</v>
      </c>
      <c r="IQ15" s="41">
        <v>13.26</v>
      </c>
      <c r="IR15" s="41">
        <v>13.25</v>
      </c>
      <c r="IS15" s="42">
        <v>13.45</v>
      </c>
      <c r="IU15" s="40"/>
      <c r="IV15" s="41">
        <v>13.39</v>
      </c>
      <c r="IW15" s="41">
        <v>13.39</v>
      </c>
      <c r="IX15" s="42"/>
      <c r="IZ15" s="40"/>
      <c r="JA15" s="41">
        <v>13.15</v>
      </c>
      <c r="JB15" s="41">
        <v>13.3</v>
      </c>
      <c r="JC15" s="42"/>
      <c r="JE15" s="40"/>
      <c r="JF15" s="41">
        <v>13.52</v>
      </c>
      <c r="JG15" s="42"/>
      <c r="JI15" s="40"/>
      <c r="JJ15" s="41">
        <v>13.7</v>
      </c>
      <c r="JK15" s="41">
        <v>13.76</v>
      </c>
      <c r="JL15" s="42">
        <v>13.67</v>
      </c>
      <c r="JN15" s="40"/>
      <c r="JO15" s="41">
        <v>13.94</v>
      </c>
      <c r="JP15" s="41">
        <v>13.84</v>
      </c>
      <c r="JQ15" s="42"/>
      <c r="JS15" s="40"/>
      <c r="JT15" s="41">
        <v>13.99</v>
      </c>
      <c r="JU15" s="41">
        <v>13.93</v>
      </c>
      <c r="JV15" s="42">
        <v>13.77</v>
      </c>
      <c r="KA15" s="40"/>
      <c r="KB15" s="41">
        <v>13.57</v>
      </c>
      <c r="KC15" s="41">
        <v>13.64</v>
      </c>
      <c r="KD15" s="42"/>
      <c r="KI15" s="40"/>
      <c r="KJ15" s="41">
        <v>13.6</v>
      </c>
      <c r="KK15" s="41">
        <v>13.25</v>
      </c>
      <c r="KL15" s="42">
        <v>13.84</v>
      </c>
      <c r="KN15" s="40"/>
      <c r="KO15" s="41">
        <v>13.36</v>
      </c>
      <c r="KP15" s="41">
        <v>13.25</v>
      </c>
      <c r="KQ15" s="41">
        <v>13.22</v>
      </c>
      <c r="KR15" s="41">
        <v>13.23</v>
      </c>
      <c r="KS15" s="41">
        <v>13.33</v>
      </c>
      <c r="KT15" s="42"/>
    </row>
    <row r="16" spans="1:306" x14ac:dyDescent="0.25">
      <c r="A16" s="22"/>
      <c r="B16" s="23" t="s">
        <v>34</v>
      </c>
      <c r="C16" s="78">
        <f t="shared" si="5"/>
        <v>0.4</v>
      </c>
      <c r="D16" s="36">
        <f>DF47</f>
        <v>13.698148148148144</v>
      </c>
      <c r="E16" s="24">
        <f t="shared" si="1"/>
        <v>13.298148148148144</v>
      </c>
      <c r="F16" s="36">
        <f>DH23</f>
        <v>13.358974358974356</v>
      </c>
      <c r="G16" s="24">
        <f t="shared" si="6"/>
        <v>-6.082621082621209E-2</v>
      </c>
      <c r="H16" s="59">
        <v>408.29</v>
      </c>
      <c r="I16" s="25">
        <f t="shared" ref="I16:I79" si="7">H16*G16</f>
        <v>-24.834733618234136</v>
      </c>
      <c r="L16" s="40"/>
      <c r="M16" s="41">
        <v>14.45</v>
      </c>
      <c r="N16" s="41">
        <v>14.25</v>
      </c>
      <c r="O16" s="41">
        <v>14.18</v>
      </c>
      <c r="P16" s="41">
        <v>14.22</v>
      </c>
      <c r="Q16" s="42">
        <v>14.07</v>
      </c>
      <c r="S16" s="40"/>
      <c r="T16" s="41">
        <v>14.01</v>
      </c>
      <c r="U16" s="41">
        <v>13.88</v>
      </c>
      <c r="V16" s="41">
        <v>13.83</v>
      </c>
      <c r="W16" s="41">
        <v>13.83</v>
      </c>
      <c r="X16" s="69">
        <v>13.67</v>
      </c>
      <c r="Y16" s="69">
        <v>13.83</v>
      </c>
      <c r="Z16" s="41">
        <v>13.79</v>
      </c>
      <c r="AA16" s="41">
        <v>13.79</v>
      </c>
      <c r="AB16" s="41">
        <v>13.66</v>
      </c>
      <c r="AC16" s="41">
        <v>13.68</v>
      </c>
      <c r="AD16" s="41">
        <v>13.69</v>
      </c>
      <c r="AE16" s="41">
        <v>13.46</v>
      </c>
      <c r="AF16" s="41">
        <v>13.77</v>
      </c>
      <c r="AG16" s="41">
        <v>13.75</v>
      </c>
      <c r="AH16" s="42"/>
      <c r="AJ16" s="40"/>
      <c r="AK16" s="41">
        <v>13.84</v>
      </c>
      <c r="AL16" s="41">
        <v>13.74</v>
      </c>
      <c r="AM16" s="41">
        <v>13.86</v>
      </c>
      <c r="AN16" s="41">
        <v>13.88</v>
      </c>
      <c r="AO16" s="41">
        <v>13.86</v>
      </c>
      <c r="AP16" s="41">
        <v>13.9</v>
      </c>
      <c r="AQ16" s="42"/>
      <c r="AS16" s="40"/>
      <c r="AT16" s="41">
        <v>13.91</v>
      </c>
      <c r="AU16" s="41">
        <v>14.07</v>
      </c>
      <c r="AV16" s="41">
        <v>14.16</v>
      </c>
      <c r="AW16" s="41">
        <v>14.1</v>
      </c>
      <c r="AX16" s="41">
        <v>14.01</v>
      </c>
      <c r="AY16" s="41">
        <v>14.08</v>
      </c>
      <c r="AZ16" s="41">
        <v>14.13</v>
      </c>
      <c r="BA16" s="41">
        <v>14.18</v>
      </c>
      <c r="BB16" s="42">
        <v>14.21</v>
      </c>
      <c r="BD16" s="40"/>
      <c r="BE16" s="41">
        <v>13.86</v>
      </c>
      <c r="BF16" s="41">
        <v>13.92</v>
      </c>
      <c r="BG16" s="41">
        <v>13.76</v>
      </c>
      <c r="BH16" s="41">
        <v>13.54</v>
      </c>
      <c r="BI16" s="42"/>
      <c r="BK16" s="40"/>
      <c r="BL16" s="41">
        <v>13.86</v>
      </c>
      <c r="BM16" s="41">
        <v>13.89</v>
      </c>
      <c r="BN16" s="41">
        <v>13.97</v>
      </c>
      <c r="BO16" s="41">
        <v>13.86</v>
      </c>
      <c r="BP16" s="41">
        <v>13.89</v>
      </c>
      <c r="BQ16" s="41">
        <v>13.66</v>
      </c>
      <c r="BR16" s="41">
        <v>13.73</v>
      </c>
      <c r="BS16" s="41">
        <v>13.69</v>
      </c>
      <c r="BT16" s="41">
        <v>13.64</v>
      </c>
      <c r="BU16" s="41">
        <v>13.69</v>
      </c>
      <c r="BV16" s="41">
        <v>13.77</v>
      </c>
      <c r="BW16" s="42"/>
      <c r="BY16" s="40"/>
      <c r="BZ16" s="41">
        <v>13.49</v>
      </c>
      <c r="CA16" s="41">
        <v>13.34</v>
      </c>
      <c r="CB16" s="41">
        <v>13.72</v>
      </c>
      <c r="CC16" s="42"/>
      <c r="CE16" s="40"/>
      <c r="CF16" s="41">
        <v>13.75</v>
      </c>
      <c r="CG16" s="41">
        <v>13.68</v>
      </c>
      <c r="CH16" s="42"/>
      <c r="CJ16" s="40"/>
      <c r="CK16" s="41">
        <v>13.96</v>
      </c>
      <c r="CL16" s="41">
        <v>14.08</v>
      </c>
      <c r="CM16" s="41">
        <v>14</v>
      </c>
      <c r="CN16" s="41">
        <v>13.94</v>
      </c>
      <c r="CO16" s="42"/>
      <c r="CQ16" s="40"/>
      <c r="CR16" s="41">
        <v>14.19</v>
      </c>
      <c r="CS16" s="41">
        <v>13.88</v>
      </c>
      <c r="CT16" s="42"/>
      <c r="CV16" s="40"/>
      <c r="CW16" s="42">
        <v>13.37</v>
      </c>
      <c r="CY16" s="40"/>
      <c r="CZ16" s="41">
        <v>13.55</v>
      </c>
      <c r="DA16" s="41">
        <v>13.49</v>
      </c>
      <c r="DB16" s="42">
        <v>13.61</v>
      </c>
      <c r="DD16" s="40"/>
      <c r="DE16" s="41">
        <v>13.3</v>
      </c>
      <c r="DF16" s="41">
        <v>13.32</v>
      </c>
      <c r="DG16" s="41">
        <v>13.07</v>
      </c>
      <c r="DH16" s="42">
        <v>13.34</v>
      </c>
      <c r="DJ16" s="40"/>
      <c r="DK16" s="41">
        <v>13.47</v>
      </c>
      <c r="DL16" s="41">
        <v>13.81</v>
      </c>
      <c r="DM16" s="42">
        <v>13.41</v>
      </c>
      <c r="DO16" s="40"/>
      <c r="DP16" s="41">
        <v>13.46</v>
      </c>
      <c r="DQ16" s="41">
        <v>13.55</v>
      </c>
      <c r="DR16" s="41">
        <v>13.31</v>
      </c>
      <c r="DS16" s="41">
        <v>13.19</v>
      </c>
      <c r="DT16" s="42"/>
      <c r="DV16" s="40"/>
      <c r="DW16" s="41">
        <v>13.61</v>
      </c>
      <c r="DX16" s="41">
        <v>13.35</v>
      </c>
      <c r="DY16" s="42"/>
      <c r="EA16" s="40"/>
      <c r="EB16" s="41">
        <v>13.25</v>
      </c>
      <c r="EC16" s="41">
        <v>13.27</v>
      </c>
      <c r="ED16" s="41">
        <v>13.41</v>
      </c>
      <c r="EE16" s="41">
        <v>13.31</v>
      </c>
      <c r="EF16" s="42"/>
      <c r="EH16" s="40"/>
      <c r="EI16" s="41">
        <v>13.42</v>
      </c>
      <c r="EJ16" s="42">
        <v>13.6</v>
      </c>
      <c r="EL16" s="40"/>
      <c r="EM16" s="41">
        <v>13.55</v>
      </c>
      <c r="EN16" s="42"/>
      <c r="EV16" s="40"/>
      <c r="EW16" s="42">
        <v>13.97</v>
      </c>
      <c r="EY16" s="40"/>
      <c r="EZ16" s="42"/>
      <c r="FA16" s="46"/>
      <c r="FB16" s="40"/>
      <c r="FC16" s="42">
        <v>13.7</v>
      </c>
      <c r="FD16" s="46"/>
      <c r="FE16" s="40"/>
      <c r="FF16" s="41">
        <v>13.89</v>
      </c>
      <c r="FG16" s="42"/>
      <c r="FI16" s="40"/>
      <c r="FJ16" s="41">
        <v>13.6</v>
      </c>
      <c r="FK16" s="42"/>
      <c r="FM16" s="40"/>
      <c r="FN16" s="41">
        <v>13.68</v>
      </c>
      <c r="FO16" s="41">
        <v>13.65</v>
      </c>
      <c r="FP16" s="41">
        <v>13.79</v>
      </c>
      <c r="FQ16" s="41">
        <v>13.62</v>
      </c>
      <c r="FR16" s="41">
        <v>13.95</v>
      </c>
      <c r="FS16" s="42"/>
      <c r="GC16" s="40"/>
      <c r="GD16" s="41">
        <v>13.98</v>
      </c>
      <c r="GE16" s="41">
        <v>13.81</v>
      </c>
      <c r="GF16" s="42"/>
      <c r="GH16" s="40"/>
      <c r="GI16" s="42"/>
      <c r="GK16" s="40"/>
      <c r="GL16" s="41">
        <v>13.62</v>
      </c>
      <c r="GM16" s="42">
        <v>13.55</v>
      </c>
      <c r="GO16" s="40"/>
      <c r="GP16" s="41">
        <v>13.63</v>
      </c>
      <c r="GQ16" s="42"/>
      <c r="GS16" s="40"/>
      <c r="GT16" s="41">
        <v>13.62</v>
      </c>
      <c r="GU16" s="41">
        <v>13.75</v>
      </c>
      <c r="GV16" s="42">
        <v>14.02</v>
      </c>
      <c r="GX16" s="40"/>
      <c r="GY16" s="41">
        <v>14.43</v>
      </c>
      <c r="GZ16" s="41">
        <v>14.28</v>
      </c>
      <c r="HA16" s="42"/>
      <c r="HC16" s="40"/>
      <c r="HD16" s="41">
        <v>14.12</v>
      </c>
      <c r="HE16" s="42">
        <v>13.98</v>
      </c>
      <c r="HG16" s="40"/>
      <c r="HH16" s="41">
        <v>13.64</v>
      </c>
      <c r="HI16" s="41">
        <v>13.74</v>
      </c>
      <c r="HJ16" s="41">
        <v>13.88</v>
      </c>
      <c r="HK16" s="41">
        <v>13.91</v>
      </c>
      <c r="HL16" s="42">
        <v>13.98</v>
      </c>
      <c r="HN16" s="40"/>
      <c r="HO16" s="41">
        <v>13.8</v>
      </c>
      <c r="HP16" s="41">
        <v>13.73</v>
      </c>
      <c r="HQ16" s="41">
        <v>13.45</v>
      </c>
      <c r="HR16" s="42"/>
      <c r="HT16" s="40"/>
      <c r="HU16" s="41">
        <v>13.13</v>
      </c>
      <c r="HV16" s="41">
        <v>13.24</v>
      </c>
      <c r="HW16" s="41">
        <v>13.51</v>
      </c>
      <c r="HX16" s="42">
        <v>13.57</v>
      </c>
      <c r="HZ16" s="40"/>
      <c r="IA16" s="41">
        <v>13.69</v>
      </c>
      <c r="IB16" s="41">
        <v>13.21</v>
      </c>
      <c r="IC16" s="42"/>
      <c r="IE16" s="40"/>
      <c r="IF16" s="41">
        <v>13.94</v>
      </c>
      <c r="IG16" s="42"/>
      <c r="II16" s="40"/>
      <c r="IJ16" s="41">
        <v>13.78</v>
      </c>
      <c r="IK16" s="41">
        <v>13.66</v>
      </c>
      <c r="IL16" s="41">
        <v>13.65</v>
      </c>
      <c r="IM16" s="42"/>
      <c r="IO16" s="40"/>
      <c r="IP16" s="41">
        <v>13.38</v>
      </c>
      <c r="IQ16" s="41">
        <v>13.63</v>
      </c>
      <c r="IR16" s="41">
        <v>13.29</v>
      </c>
      <c r="IS16" s="42"/>
      <c r="IU16" s="40"/>
      <c r="IV16" s="41">
        <v>13.46</v>
      </c>
      <c r="IW16" s="41">
        <v>13.41</v>
      </c>
      <c r="IX16" s="42"/>
      <c r="IZ16" s="40"/>
      <c r="JA16" s="41">
        <v>13.16</v>
      </c>
      <c r="JB16" s="41">
        <v>13.51</v>
      </c>
      <c r="JC16" s="42"/>
      <c r="JE16" s="40"/>
      <c r="JF16" s="41">
        <v>13.48</v>
      </c>
      <c r="JG16" s="42"/>
      <c r="JI16" s="40"/>
      <c r="JJ16" s="41">
        <v>13.71</v>
      </c>
      <c r="JK16" s="41">
        <v>13.75</v>
      </c>
      <c r="JL16" s="42">
        <v>13.68</v>
      </c>
      <c r="JN16" s="40"/>
      <c r="JO16" s="41">
        <v>13.95</v>
      </c>
      <c r="JP16" s="41">
        <v>13.82</v>
      </c>
      <c r="JQ16" s="42"/>
      <c r="JS16" s="40"/>
      <c r="JT16" s="41">
        <v>13.99</v>
      </c>
      <c r="JU16" s="41">
        <v>13.95</v>
      </c>
      <c r="JV16" s="42">
        <v>13.87</v>
      </c>
      <c r="KA16" s="40"/>
      <c r="KB16" s="41">
        <v>13.59</v>
      </c>
      <c r="KC16" s="41">
        <v>13.65</v>
      </c>
      <c r="KD16" s="42"/>
      <c r="KI16" s="40"/>
      <c r="KJ16" s="41">
        <v>13.57</v>
      </c>
      <c r="KK16" s="41">
        <v>13.27</v>
      </c>
      <c r="KL16" s="42">
        <v>13.84</v>
      </c>
      <c r="KN16" s="40"/>
      <c r="KO16" s="41">
        <v>13.33</v>
      </c>
      <c r="KP16" s="41">
        <v>13.3</v>
      </c>
      <c r="KQ16" s="41">
        <v>13.22</v>
      </c>
      <c r="KR16" s="41">
        <v>13.15</v>
      </c>
      <c r="KS16" s="41">
        <v>13.33</v>
      </c>
      <c r="KT16" s="42"/>
    </row>
    <row r="17" spans="1:306" x14ac:dyDescent="0.25">
      <c r="A17" s="22"/>
      <c r="B17" s="23" t="s">
        <v>34</v>
      </c>
      <c r="C17" s="78">
        <f t="shared" si="5"/>
        <v>0.4</v>
      </c>
      <c r="D17" s="36">
        <f>DK47</f>
        <v>13.696470588235291</v>
      </c>
      <c r="E17" s="24">
        <f t="shared" si="1"/>
        <v>13.296470588235291</v>
      </c>
      <c r="F17" s="36">
        <f>DM23</f>
        <v>13.511034482758614</v>
      </c>
      <c r="G17" s="24">
        <f t="shared" si="6"/>
        <v>-0.21456389452332303</v>
      </c>
      <c r="H17" s="59">
        <v>205.8</v>
      </c>
      <c r="I17" s="25">
        <f t="shared" si="7"/>
        <v>-44.157249492899879</v>
      </c>
      <c r="L17" s="40"/>
      <c r="M17" s="41">
        <v>14.44</v>
      </c>
      <c r="N17" s="41">
        <v>14.41</v>
      </c>
      <c r="O17" s="41">
        <v>14.31</v>
      </c>
      <c r="P17" s="41">
        <v>14.19</v>
      </c>
      <c r="Q17" s="42"/>
      <c r="S17" s="40"/>
      <c r="T17" s="41">
        <v>13.96</v>
      </c>
      <c r="U17" s="41">
        <v>13.97</v>
      </c>
      <c r="V17" s="41">
        <v>13.91</v>
      </c>
      <c r="W17" s="41">
        <v>13.52</v>
      </c>
      <c r="X17" s="69">
        <v>13.83</v>
      </c>
      <c r="Y17" s="69">
        <v>13.84</v>
      </c>
      <c r="Z17" s="41">
        <v>13.79</v>
      </c>
      <c r="AA17" s="41">
        <v>13.78</v>
      </c>
      <c r="AB17" s="41">
        <v>13.54</v>
      </c>
      <c r="AC17" s="41">
        <v>13.74</v>
      </c>
      <c r="AD17" s="41">
        <v>13.7</v>
      </c>
      <c r="AE17" s="41">
        <v>13.78</v>
      </c>
      <c r="AF17" s="41">
        <v>13.61</v>
      </c>
      <c r="AG17" s="41">
        <v>13.73</v>
      </c>
      <c r="AH17" s="42"/>
      <c r="AJ17" s="40"/>
      <c r="AK17" s="41">
        <v>13.74</v>
      </c>
      <c r="AL17" s="41">
        <v>13.53</v>
      </c>
      <c r="AM17" s="41">
        <v>13.7</v>
      </c>
      <c r="AN17" s="41">
        <v>13.9</v>
      </c>
      <c r="AO17" s="41">
        <v>13.93</v>
      </c>
      <c r="AP17" s="41">
        <v>13.95</v>
      </c>
      <c r="AQ17" s="42"/>
      <c r="AS17" s="40"/>
      <c r="AT17" s="41">
        <v>13.86</v>
      </c>
      <c r="AU17" s="41">
        <v>13.8</v>
      </c>
      <c r="AV17" s="41">
        <v>14.08</v>
      </c>
      <c r="AW17" s="41">
        <v>14.01</v>
      </c>
      <c r="AX17" s="41">
        <v>14.03</v>
      </c>
      <c r="AY17" s="41">
        <v>14.08</v>
      </c>
      <c r="AZ17" s="41">
        <v>14.12</v>
      </c>
      <c r="BA17" s="41">
        <v>14.21</v>
      </c>
      <c r="BB17" s="42">
        <v>14.16</v>
      </c>
      <c r="BD17" s="40"/>
      <c r="BE17" s="41">
        <v>13.58</v>
      </c>
      <c r="BF17" s="41">
        <v>13.6</v>
      </c>
      <c r="BG17" s="41">
        <v>13.95</v>
      </c>
      <c r="BH17" s="41">
        <v>13.9</v>
      </c>
      <c r="BI17" s="42"/>
      <c r="BK17" s="40"/>
      <c r="BL17" s="41">
        <v>13.85</v>
      </c>
      <c r="BM17" s="41">
        <v>13.97</v>
      </c>
      <c r="BN17" s="41">
        <v>13.82</v>
      </c>
      <c r="BO17" s="41">
        <v>13.86</v>
      </c>
      <c r="BP17" s="41">
        <v>13.88</v>
      </c>
      <c r="BQ17" s="41">
        <v>13.87</v>
      </c>
      <c r="BR17" s="41">
        <v>13.71</v>
      </c>
      <c r="BS17" s="41">
        <v>13.68</v>
      </c>
      <c r="BT17" s="41">
        <v>13.27</v>
      </c>
      <c r="BU17" s="41">
        <v>13.69</v>
      </c>
      <c r="BV17" s="41">
        <v>13.63</v>
      </c>
      <c r="BW17" s="42"/>
      <c r="BY17" s="40"/>
      <c r="BZ17" s="41">
        <v>13.59</v>
      </c>
      <c r="CA17" s="41">
        <v>13.35</v>
      </c>
      <c r="CB17" s="41">
        <v>13.75</v>
      </c>
      <c r="CC17" s="42"/>
      <c r="CE17" s="40"/>
      <c r="CF17" s="41">
        <v>13.74</v>
      </c>
      <c r="CG17" s="41">
        <v>13.7</v>
      </c>
      <c r="CH17" s="42"/>
      <c r="CJ17" s="40"/>
      <c r="CK17" s="41">
        <v>13.56</v>
      </c>
      <c r="CL17" s="41">
        <v>14.1</v>
      </c>
      <c r="CM17" s="41">
        <v>14.08</v>
      </c>
      <c r="CN17" s="41">
        <v>13.94</v>
      </c>
      <c r="CO17" s="42"/>
      <c r="CQ17" s="40"/>
      <c r="CR17" s="41">
        <v>14.12</v>
      </c>
      <c r="CS17" s="41">
        <v>14.08</v>
      </c>
      <c r="CT17" s="42"/>
      <c r="CV17" s="40"/>
      <c r="CW17" s="42">
        <v>13.43</v>
      </c>
      <c r="CY17" s="40"/>
      <c r="CZ17" s="41">
        <v>13.69</v>
      </c>
      <c r="DA17" s="41">
        <v>13.24</v>
      </c>
      <c r="DB17" s="42">
        <v>13.34</v>
      </c>
      <c r="DD17" s="40"/>
      <c r="DE17" s="41">
        <v>13.31</v>
      </c>
      <c r="DF17" s="41">
        <v>13.38</v>
      </c>
      <c r="DG17" s="41">
        <v>13.18</v>
      </c>
      <c r="DH17" s="42">
        <v>13.23</v>
      </c>
      <c r="DJ17" s="40"/>
      <c r="DK17" s="41">
        <v>13.58</v>
      </c>
      <c r="DL17" s="41">
        <v>13.44</v>
      </c>
      <c r="DM17" s="42">
        <v>13.42</v>
      </c>
      <c r="DO17" s="40"/>
      <c r="DP17" s="41">
        <v>13.36</v>
      </c>
      <c r="DQ17" s="41">
        <v>13.51</v>
      </c>
      <c r="DR17" s="41">
        <v>13.67</v>
      </c>
      <c r="DS17" s="41">
        <v>13.22</v>
      </c>
      <c r="DT17" s="42"/>
      <c r="DV17" s="40"/>
      <c r="DW17" s="41">
        <v>13.61</v>
      </c>
      <c r="DX17" s="41">
        <v>13.33</v>
      </c>
      <c r="DY17" s="42"/>
      <c r="EA17" s="40"/>
      <c r="EB17" s="41">
        <v>13.16</v>
      </c>
      <c r="EC17" s="41">
        <v>13.4</v>
      </c>
      <c r="ED17" s="41">
        <v>13.36</v>
      </c>
      <c r="EE17" s="41">
        <v>13.3</v>
      </c>
      <c r="EF17" s="42"/>
      <c r="EH17" s="40"/>
      <c r="EI17" s="41">
        <v>13.38</v>
      </c>
      <c r="EJ17" s="42">
        <v>13.6</v>
      </c>
      <c r="EL17" s="40"/>
      <c r="EM17" s="41">
        <v>13.64</v>
      </c>
      <c r="EN17" s="42"/>
      <c r="EV17" s="40"/>
      <c r="EW17" s="42">
        <v>13.98</v>
      </c>
      <c r="EY17" s="40"/>
      <c r="EZ17" s="42"/>
      <c r="FA17" s="46"/>
      <c r="FB17" s="40"/>
      <c r="FC17" s="42">
        <v>13.67</v>
      </c>
      <c r="FD17" s="46"/>
      <c r="FE17" s="40"/>
      <c r="FF17" s="41">
        <v>13.87</v>
      </c>
      <c r="FG17" s="42"/>
      <c r="FI17" s="40"/>
      <c r="FJ17" s="41">
        <v>13.57</v>
      </c>
      <c r="FK17" s="42"/>
      <c r="FM17" s="40"/>
      <c r="FN17" s="41">
        <v>13.46</v>
      </c>
      <c r="FO17" s="41">
        <v>13.63</v>
      </c>
      <c r="FP17" s="41">
        <v>13.79</v>
      </c>
      <c r="FQ17" s="41">
        <v>13.47</v>
      </c>
      <c r="FR17" s="41">
        <v>13.62</v>
      </c>
      <c r="FS17" s="42"/>
      <c r="GC17" s="40"/>
      <c r="GD17" s="41">
        <v>13.96</v>
      </c>
      <c r="GE17" s="41">
        <v>13.76</v>
      </c>
      <c r="GF17" s="42"/>
      <c r="GH17" s="40"/>
      <c r="GI17" s="42"/>
      <c r="GK17" s="40"/>
      <c r="GL17" s="41">
        <v>13.6</v>
      </c>
      <c r="GM17" s="42">
        <v>13.35</v>
      </c>
      <c r="GO17" s="40"/>
      <c r="GP17" s="41">
        <v>13.62</v>
      </c>
      <c r="GQ17" s="42"/>
      <c r="GS17" s="40"/>
      <c r="GT17" s="41">
        <v>13.82</v>
      </c>
      <c r="GU17" s="41">
        <v>13.76</v>
      </c>
      <c r="GV17" s="42">
        <v>14</v>
      </c>
      <c r="GX17" s="40"/>
      <c r="GY17" s="41">
        <v>14.42</v>
      </c>
      <c r="GZ17" s="41">
        <v>14.26</v>
      </c>
      <c r="HA17" s="42"/>
      <c r="HC17" s="40"/>
      <c r="HD17" s="41">
        <v>13.89</v>
      </c>
      <c r="HE17" s="42">
        <v>13.62</v>
      </c>
      <c r="HG17" s="40"/>
      <c r="HH17" s="41">
        <v>13.81</v>
      </c>
      <c r="HI17" s="41">
        <v>13.84</v>
      </c>
      <c r="HJ17" s="41">
        <v>13.69</v>
      </c>
      <c r="HK17" s="41">
        <v>13.94</v>
      </c>
      <c r="HL17" s="42">
        <v>13.94</v>
      </c>
      <c r="HN17" s="40"/>
      <c r="HO17" s="41">
        <v>13.58</v>
      </c>
      <c r="HP17" s="41">
        <v>13.75</v>
      </c>
      <c r="HQ17" s="41">
        <v>13.61</v>
      </c>
      <c r="HR17" s="42"/>
      <c r="HT17" s="40"/>
      <c r="HU17" s="41">
        <v>13.28</v>
      </c>
      <c r="HV17" s="41">
        <v>13.35</v>
      </c>
      <c r="HW17" s="41">
        <v>13.29</v>
      </c>
      <c r="HX17" s="42">
        <v>13.57</v>
      </c>
      <c r="HZ17" s="40"/>
      <c r="IA17" s="41">
        <v>13.58</v>
      </c>
      <c r="IB17" s="41">
        <v>13.24</v>
      </c>
      <c r="IC17" s="42"/>
      <c r="IE17" s="40"/>
      <c r="IF17" s="41">
        <v>13.84</v>
      </c>
      <c r="IG17" s="42"/>
      <c r="II17" s="40"/>
      <c r="IJ17" s="41">
        <v>13.76</v>
      </c>
      <c r="IK17" s="41">
        <v>13.69</v>
      </c>
      <c r="IL17" s="41">
        <v>13.65</v>
      </c>
      <c r="IM17" s="42"/>
      <c r="IO17" s="40"/>
      <c r="IP17" s="41">
        <v>13.4</v>
      </c>
      <c r="IQ17" s="41">
        <v>13.26</v>
      </c>
      <c r="IR17" s="41">
        <v>13.28</v>
      </c>
      <c r="IS17" s="42"/>
      <c r="IU17" s="40"/>
      <c r="IV17" s="41">
        <v>13.55</v>
      </c>
      <c r="IW17" s="41">
        <v>13.47</v>
      </c>
      <c r="IX17" s="42"/>
      <c r="IZ17" s="40"/>
      <c r="JA17" s="41">
        <v>13.17</v>
      </c>
      <c r="JB17" s="41">
        <v>13.25</v>
      </c>
      <c r="JC17" s="42"/>
      <c r="JE17" s="40"/>
      <c r="JF17" s="41">
        <v>13.49</v>
      </c>
      <c r="JG17" s="42"/>
      <c r="JI17" s="40"/>
      <c r="JJ17" s="41">
        <v>13.74</v>
      </c>
      <c r="JK17" s="41">
        <v>13.73</v>
      </c>
      <c r="JL17" s="42">
        <v>13.69</v>
      </c>
      <c r="JN17" s="40"/>
      <c r="JO17" s="41">
        <v>13.96</v>
      </c>
      <c r="JP17" s="41">
        <v>13.84</v>
      </c>
      <c r="JQ17" s="42"/>
      <c r="JS17" s="40"/>
      <c r="JT17" s="41">
        <v>13.98</v>
      </c>
      <c r="JU17" s="41">
        <v>13.95</v>
      </c>
      <c r="JV17" s="42">
        <v>13.87</v>
      </c>
      <c r="KA17" s="40"/>
      <c r="KB17" s="41">
        <v>13.56</v>
      </c>
      <c r="KC17" s="41">
        <v>13.67</v>
      </c>
      <c r="KD17" s="42"/>
      <c r="KI17" s="40"/>
      <c r="KJ17" s="41">
        <v>13.54</v>
      </c>
      <c r="KK17" s="41">
        <v>13.24</v>
      </c>
      <c r="KL17" s="42">
        <v>13.85</v>
      </c>
      <c r="KN17" s="40"/>
      <c r="KO17" s="41">
        <v>13.32</v>
      </c>
      <c r="KP17" s="41">
        <v>13.3</v>
      </c>
      <c r="KQ17" s="41">
        <v>13.48</v>
      </c>
      <c r="KR17" s="41">
        <v>13.12</v>
      </c>
      <c r="KS17" s="41">
        <v>13.32</v>
      </c>
      <c r="KT17" s="42"/>
    </row>
    <row r="18" spans="1:306" x14ac:dyDescent="0.25">
      <c r="A18" s="22"/>
      <c r="B18" s="23" t="s">
        <v>34</v>
      </c>
      <c r="C18" s="78">
        <f t="shared" si="5"/>
        <v>0.4</v>
      </c>
      <c r="D18" s="36">
        <f>DQ47</f>
        <v>13.699999999999998</v>
      </c>
      <c r="E18" s="24">
        <f t="shared" si="1"/>
        <v>13.299999999999997</v>
      </c>
      <c r="F18" s="36">
        <f>DT23</f>
        <v>13.499565217391305</v>
      </c>
      <c r="G18" s="24">
        <f t="shared" si="6"/>
        <v>-0.19956521739130828</v>
      </c>
      <c r="H18" s="59">
        <f>433.75+5.08+5.09</f>
        <v>443.91999999999996</v>
      </c>
      <c r="I18" s="25">
        <f t="shared" si="7"/>
        <v>-88.590991304349558</v>
      </c>
      <c r="L18" s="40"/>
      <c r="M18" s="41">
        <v>14</v>
      </c>
      <c r="N18" s="41">
        <v>14.4</v>
      </c>
      <c r="O18" s="41">
        <v>14.34</v>
      </c>
      <c r="P18" s="41">
        <v>14.1</v>
      </c>
      <c r="Q18" s="42"/>
      <c r="S18" s="40"/>
      <c r="T18" s="41">
        <v>14</v>
      </c>
      <c r="U18" s="41">
        <v>13.99</v>
      </c>
      <c r="V18" s="41">
        <v>13.91</v>
      </c>
      <c r="W18" s="41">
        <v>13.33</v>
      </c>
      <c r="X18" s="69">
        <v>13.39</v>
      </c>
      <c r="Y18" s="69">
        <v>13.83</v>
      </c>
      <c r="Z18" s="41">
        <v>13.8</v>
      </c>
      <c r="AA18" s="41">
        <v>13.77</v>
      </c>
      <c r="AB18" s="41">
        <v>13.41</v>
      </c>
      <c r="AC18" s="41">
        <v>13.75</v>
      </c>
      <c r="AD18" s="41">
        <v>13.73</v>
      </c>
      <c r="AE18" s="41">
        <v>13.78</v>
      </c>
      <c r="AF18" s="41">
        <v>13.43</v>
      </c>
      <c r="AG18" s="41">
        <v>13.74</v>
      </c>
      <c r="AH18" s="42"/>
      <c r="AJ18" s="40"/>
      <c r="AK18" s="41">
        <v>13.62</v>
      </c>
      <c r="AL18" s="41">
        <v>13.54</v>
      </c>
      <c r="AM18" s="41">
        <v>13.53</v>
      </c>
      <c r="AN18" s="41">
        <v>13.51</v>
      </c>
      <c r="AO18" s="41">
        <v>13.93</v>
      </c>
      <c r="AP18" s="41">
        <v>13.85</v>
      </c>
      <c r="AQ18" s="42"/>
      <c r="AS18" s="40"/>
      <c r="AT18" s="41">
        <v>13.84</v>
      </c>
      <c r="AU18" s="41">
        <v>13.93</v>
      </c>
      <c r="AV18" s="41">
        <v>14</v>
      </c>
      <c r="AW18" s="41">
        <v>14.05</v>
      </c>
      <c r="AX18" s="41">
        <v>14.33</v>
      </c>
      <c r="AY18" s="41">
        <v>14.12</v>
      </c>
      <c r="AZ18" s="41">
        <v>14.09</v>
      </c>
      <c r="BA18" s="41">
        <v>14.16</v>
      </c>
      <c r="BB18" s="42">
        <v>14.14</v>
      </c>
      <c r="BD18" s="40"/>
      <c r="BE18" s="41">
        <v>13.85</v>
      </c>
      <c r="BF18" s="41">
        <v>13.64</v>
      </c>
      <c r="BG18" s="41">
        <v>13.95</v>
      </c>
      <c r="BH18" s="41">
        <v>13.9</v>
      </c>
      <c r="BI18" s="42"/>
      <c r="BK18" s="40"/>
      <c r="BL18" s="41">
        <v>13.42</v>
      </c>
      <c r="BM18" s="41">
        <v>13.96</v>
      </c>
      <c r="BN18" s="41">
        <v>13.52</v>
      </c>
      <c r="BO18" s="41">
        <v>13.51</v>
      </c>
      <c r="BP18" s="41">
        <v>13.6</v>
      </c>
      <c r="BQ18" s="41">
        <v>13.88</v>
      </c>
      <c r="BR18" s="41">
        <v>13.74</v>
      </c>
      <c r="BS18" s="41">
        <v>13.67</v>
      </c>
      <c r="BT18" s="41">
        <v>13.65</v>
      </c>
      <c r="BU18" s="41">
        <v>13.72</v>
      </c>
      <c r="BV18" s="41">
        <v>13.77</v>
      </c>
      <c r="BW18" s="42"/>
      <c r="BY18" s="40"/>
      <c r="BZ18" s="41">
        <v>13.45</v>
      </c>
      <c r="CA18" s="41">
        <v>13.67</v>
      </c>
      <c r="CB18" s="41">
        <v>13.79</v>
      </c>
      <c r="CC18" s="42"/>
      <c r="CE18" s="40"/>
      <c r="CF18" s="41">
        <v>13.69</v>
      </c>
      <c r="CG18" s="41">
        <v>13.72</v>
      </c>
      <c r="CH18" s="42"/>
      <c r="CJ18" s="40"/>
      <c r="CK18" s="41">
        <v>13.8</v>
      </c>
      <c r="CL18" s="41">
        <v>14.05</v>
      </c>
      <c r="CM18" s="41">
        <v>13.98</v>
      </c>
      <c r="CN18" s="41">
        <v>13.99</v>
      </c>
      <c r="CO18" s="42"/>
      <c r="CQ18" s="40"/>
      <c r="CR18" s="41">
        <v>14.06</v>
      </c>
      <c r="CS18" s="41">
        <v>14.11</v>
      </c>
      <c r="CT18" s="42"/>
      <c r="CV18" s="40"/>
      <c r="CW18" s="42">
        <v>13.37</v>
      </c>
      <c r="CY18" s="40"/>
      <c r="CZ18" s="41">
        <v>13.63</v>
      </c>
      <c r="DA18" s="41">
        <v>13.42</v>
      </c>
      <c r="DB18" s="42">
        <v>13.69</v>
      </c>
      <c r="DD18" s="40"/>
      <c r="DE18" s="41">
        <v>13.3</v>
      </c>
      <c r="DF18" s="41">
        <v>13.35</v>
      </c>
      <c r="DG18" s="41">
        <v>13.1</v>
      </c>
      <c r="DH18" s="42">
        <v>13.34</v>
      </c>
      <c r="DJ18" s="40"/>
      <c r="DK18" s="41">
        <v>13.51</v>
      </c>
      <c r="DL18" s="41">
        <v>13.43</v>
      </c>
      <c r="DM18" s="42">
        <v>13.66</v>
      </c>
      <c r="DO18" s="40"/>
      <c r="DP18" s="41">
        <v>13.57</v>
      </c>
      <c r="DQ18" s="41">
        <v>13.58</v>
      </c>
      <c r="DR18" s="41">
        <v>13.46</v>
      </c>
      <c r="DS18" s="41">
        <v>13.21</v>
      </c>
      <c r="DT18" s="42"/>
      <c r="DV18" s="40"/>
      <c r="DW18" s="41">
        <v>13.58</v>
      </c>
      <c r="DX18" s="41">
        <v>13.32</v>
      </c>
      <c r="DY18" s="42"/>
      <c r="EA18" s="40"/>
      <c r="EB18" s="41">
        <v>13.25</v>
      </c>
      <c r="EC18" s="41">
        <v>13.37</v>
      </c>
      <c r="ED18" s="41">
        <v>13.42</v>
      </c>
      <c r="EE18" s="41">
        <v>13.31</v>
      </c>
      <c r="EF18" s="42"/>
      <c r="EH18" s="40"/>
      <c r="EI18" s="41">
        <v>13.85</v>
      </c>
      <c r="EJ18" s="42">
        <v>13.94</v>
      </c>
      <c r="EL18" s="40"/>
      <c r="EM18" s="41">
        <v>13.65</v>
      </c>
      <c r="EN18" s="42"/>
      <c r="EV18" s="40"/>
      <c r="EW18" s="42">
        <v>13.95</v>
      </c>
      <c r="EY18" s="40"/>
      <c r="EZ18" s="42"/>
      <c r="FA18" s="46"/>
      <c r="FB18" s="40"/>
      <c r="FC18" s="42">
        <v>13.68</v>
      </c>
      <c r="FD18" s="46"/>
      <c r="FE18" s="40"/>
      <c r="FF18" s="41">
        <v>13.88</v>
      </c>
      <c r="FG18" s="42"/>
      <c r="FI18" s="40"/>
      <c r="FJ18" s="41">
        <v>13.64</v>
      </c>
      <c r="FK18" s="42"/>
      <c r="FM18" s="40"/>
      <c r="FN18" s="41">
        <v>13.58</v>
      </c>
      <c r="FO18" s="41">
        <v>13.64</v>
      </c>
      <c r="FP18" s="41">
        <v>13.53</v>
      </c>
      <c r="FQ18" s="41">
        <v>13.65</v>
      </c>
      <c r="FR18" s="41">
        <v>13.94</v>
      </c>
      <c r="FS18" s="42"/>
      <c r="GC18" s="40"/>
      <c r="GD18" s="41">
        <v>13.93</v>
      </c>
      <c r="GE18" s="41">
        <v>13.73</v>
      </c>
      <c r="GF18" s="42"/>
      <c r="GH18" s="40"/>
      <c r="GI18" s="42"/>
      <c r="GK18" s="40"/>
      <c r="GL18" s="41">
        <v>13.61</v>
      </c>
      <c r="GM18" s="42">
        <v>13.35</v>
      </c>
      <c r="GO18" s="40"/>
      <c r="GP18" s="41">
        <v>13.35</v>
      </c>
      <c r="GQ18" s="42"/>
      <c r="GS18" s="40"/>
      <c r="GT18" s="41">
        <v>14.1</v>
      </c>
      <c r="GU18" s="41">
        <v>13.82</v>
      </c>
      <c r="GV18" s="42">
        <v>13.85</v>
      </c>
      <c r="GX18" s="40"/>
      <c r="GY18" s="41">
        <v>14.44</v>
      </c>
      <c r="GZ18" s="41">
        <v>14.23</v>
      </c>
      <c r="HA18" s="42"/>
      <c r="HC18" s="40"/>
      <c r="HD18" s="41">
        <v>14.06</v>
      </c>
      <c r="HE18" s="42">
        <v>13.88</v>
      </c>
      <c r="HG18" s="40"/>
      <c r="HH18" s="41">
        <v>13.72</v>
      </c>
      <c r="HI18" s="41">
        <v>13.84</v>
      </c>
      <c r="HJ18" s="41">
        <v>13.82</v>
      </c>
      <c r="HK18" s="41">
        <v>13.9</v>
      </c>
      <c r="HL18" s="42">
        <v>13.92</v>
      </c>
      <c r="HN18" s="40"/>
      <c r="HO18" s="41">
        <v>13.74</v>
      </c>
      <c r="HP18" s="41">
        <v>13.66</v>
      </c>
      <c r="HQ18" s="41">
        <v>13.76</v>
      </c>
      <c r="HR18" s="42"/>
      <c r="HT18" s="40"/>
      <c r="HU18" s="41">
        <v>12.96</v>
      </c>
      <c r="HV18" s="41">
        <v>13.27</v>
      </c>
      <c r="HW18" s="41">
        <v>13.49</v>
      </c>
      <c r="HX18" s="42">
        <v>13.6</v>
      </c>
      <c r="HZ18" s="40"/>
      <c r="IA18" s="41">
        <v>13.62</v>
      </c>
      <c r="IB18" s="41">
        <v>13.21</v>
      </c>
      <c r="IC18" s="42"/>
      <c r="IE18" s="40"/>
      <c r="IF18" s="41">
        <v>13.89</v>
      </c>
      <c r="IG18" s="42"/>
      <c r="II18" s="40"/>
      <c r="IJ18" s="41">
        <v>13.81</v>
      </c>
      <c r="IK18" s="41">
        <v>13.66</v>
      </c>
      <c r="IL18" s="41">
        <v>13.66</v>
      </c>
      <c r="IM18" s="42"/>
      <c r="IO18" s="40"/>
      <c r="IP18" s="41">
        <v>13.39</v>
      </c>
      <c r="IQ18" s="41">
        <v>13.44</v>
      </c>
      <c r="IR18" s="41">
        <v>13.28</v>
      </c>
      <c r="IS18" s="42"/>
      <c r="IU18" s="40"/>
      <c r="IV18" s="41">
        <v>13.37</v>
      </c>
      <c r="IW18" s="41">
        <v>13.48</v>
      </c>
      <c r="IX18" s="42"/>
      <c r="IZ18" s="40"/>
      <c r="JA18" s="41">
        <v>13.19</v>
      </c>
      <c r="JB18" s="41">
        <v>13.57</v>
      </c>
      <c r="JC18" s="42"/>
      <c r="JE18" s="40"/>
      <c r="JF18" s="41">
        <v>13.66</v>
      </c>
      <c r="JG18" s="42"/>
      <c r="JI18" s="40"/>
      <c r="JJ18" s="41">
        <v>13.76</v>
      </c>
      <c r="JK18" s="41">
        <v>13.72</v>
      </c>
      <c r="JL18" s="42">
        <v>13.7</v>
      </c>
      <c r="JN18" s="40"/>
      <c r="JO18" s="41">
        <v>13.97</v>
      </c>
      <c r="JP18" s="41">
        <v>13.82</v>
      </c>
      <c r="JQ18" s="42"/>
      <c r="JS18" s="40"/>
      <c r="JT18" s="41">
        <v>13.98</v>
      </c>
      <c r="JU18" s="41">
        <v>13.91</v>
      </c>
      <c r="JV18" s="42">
        <v>13.86</v>
      </c>
      <c r="KA18" s="40"/>
      <c r="KB18" s="41">
        <v>13.57</v>
      </c>
      <c r="KC18" s="41">
        <v>13.68</v>
      </c>
      <c r="KD18" s="42"/>
      <c r="KI18" s="40"/>
      <c r="KJ18" s="41">
        <v>13.48</v>
      </c>
      <c r="KK18" s="41">
        <v>13.21</v>
      </c>
      <c r="KL18" s="42"/>
      <c r="KN18" s="40"/>
      <c r="KO18" s="41">
        <v>13.3</v>
      </c>
      <c r="KP18" s="41">
        <v>13.42</v>
      </c>
      <c r="KQ18" s="41">
        <v>13.65</v>
      </c>
      <c r="KR18" s="41">
        <v>13.13</v>
      </c>
      <c r="KS18" s="41">
        <v>13.33</v>
      </c>
      <c r="KT18" s="42"/>
    </row>
    <row r="19" spans="1:306" x14ac:dyDescent="0.25">
      <c r="A19" s="22"/>
      <c r="B19" s="23" t="s">
        <v>34</v>
      </c>
      <c r="C19" s="78">
        <f t="shared" si="5"/>
        <v>0.4</v>
      </c>
      <c r="D19" s="36">
        <f>DW47</f>
        <v>13.703888888888885</v>
      </c>
      <c r="E19" s="24">
        <f t="shared" si="1"/>
        <v>13.303888888888885</v>
      </c>
      <c r="F19" s="36">
        <f>DY23</f>
        <v>13.489056603773582</v>
      </c>
      <c r="G19" s="24">
        <f t="shared" si="6"/>
        <v>-0.18516771488469708</v>
      </c>
      <c r="H19" s="59">
        <f>353.1</f>
        <v>353.1</v>
      </c>
      <c r="I19" s="25">
        <f t="shared" si="7"/>
        <v>-65.382720125786548</v>
      </c>
      <c r="L19" s="40"/>
      <c r="M19" s="41">
        <v>14.44</v>
      </c>
      <c r="N19" s="41">
        <v>14.19</v>
      </c>
      <c r="O19" s="41">
        <v>14.34</v>
      </c>
      <c r="P19" s="41">
        <v>14.2</v>
      </c>
      <c r="Q19" s="42"/>
      <c r="S19" s="40"/>
      <c r="T19" s="41">
        <v>14.03</v>
      </c>
      <c r="U19" s="41">
        <v>13.65</v>
      </c>
      <c r="V19" s="41">
        <v>13.95</v>
      </c>
      <c r="W19" s="41">
        <v>13.84</v>
      </c>
      <c r="X19" s="69">
        <v>13.48</v>
      </c>
      <c r="Y19" s="69">
        <v>13.83</v>
      </c>
      <c r="Z19" s="41">
        <v>13.88</v>
      </c>
      <c r="AA19" s="41">
        <v>13.66</v>
      </c>
      <c r="AB19" s="41">
        <v>13.74</v>
      </c>
      <c r="AC19" s="41">
        <v>13.75</v>
      </c>
      <c r="AD19" s="41">
        <v>13.77</v>
      </c>
      <c r="AE19" s="41">
        <v>13.82</v>
      </c>
      <c r="AF19" s="41">
        <v>13.65</v>
      </c>
      <c r="AG19" s="41">
        <v>13.75</v>
      </c>
      <c r="AH19" s="42"/>
      <c r="AJ19" s="40"/>
      <c r="AK19" s="41">
        <v>13.81</v>
      </c>
      <c r="AL19" s="41">
        <v>13.74</v>
      </c>
      <c r="AM19" s="41">
        <v>13.85</v>
      </c>
      <c r="AN19" s="41">
        <v>13.91</v>
      </c>
      <c r="AO19" s="41">
        <v>13.94</v>
      </c>
      <c r="AP19" s="41">
        <v>13.88</v>
      </c>
      <c r="AQ19" s="42"/>
      <c r="AS19" s="40"/>
      <c r="AT19" s="41">
        <v>13.87</v>
      </c>
      <c r="AU19" s="41">
        <v>14.2</v>
      </c>
      <c r="AV19" s="41">
        <v>14.11</v>
      </c>
      <c r="AW19" s="41">
        <v>14.11</v>
      </c>
      <c r="AX19" s="41">
        <v>14.26</v>
      </c>
      <c r="AY19" s="41">
        <v>13.97</v>
      </c>
      <c r="AZ19" s="41">
        <v>13.92</v>
      </c>
      <c r="BA19" s="41">
        <v>13.94</v>
      </c>
      <c r="BB19" s="42">
        <v>14.23</v>
      </c>
      <c r="BD19" s="40"/>
      <c r="BE19" s="41">
        <v>13.86</v>
      </c>
      <c r="BF19" s="41">
        <v>13.92</v>
      </c>
      <c r="BG19" s="41">
        <v>13.59</v>
      </c>
      <c r="BH19" s="41">
        <v>13.4</v>
      </c>
      <c r="BI19" s="42"/>
      <c r="BK19" s="40"/>
      <c r="BL19" s="41">
        <v>13.75</v>
      </c>
      <c r="BM19" s="41">
        <v>13.39</v>
      </c>
      <c r="BN19" s="41">
        <v>13.92</v>
      </c>
      <c r="BO19" s="41">
        <v>13.81</v>
      </c>
      <c r="BP19" s="41">
        <v>13.88</v>
      </c>
      <c r="BQ19" s="41">
        <v>13.67</v>
      </c>
      <c r="BR19" s="41">
        <v>13.67</v>
      </c>
      <c r="BS19" s="41">
        <v>13.66</v>
      </c>
      <c r="BT19" s="41">
        <v>13.65</v>
      </c>
      <c r="BU19" s="41">
        <v>13.71</v>
      </c>
      <c r="BV19" s="41">
        <v>13.78</v>
      </c>
      <c r="BW19" s="42"/>
      <c r="BY19" s="40"/>
      <c r="BZ19" s="41">
        <v>13.59</v>
      </c>
      <c r="CA19" s="41">
        <v>13.68</v>
      </c>
      <c r="CB19" s="41">
        <v>13.47</v>
      </c>
      <c r="CC19" s="42"/>
      <c r="CE19" s="40"/>
      <c r="CF19" s="41">
        <v>13.71</v>
      </c>
      <c r="CG19" s="41">
        <v>13.74</v>
      </c>
      <c r="CH19" s="42"/>
      <c r="CJ19" s="40"/>
      <c r="CK19" s="41">
        <v>13.8</v>
      </c>
      <c r="CL19" s="41">
        <v>14.12</v>
      </c>
      <c r="CM19" s="41">
        <v>13.97</v>
      </c>
      <c r="CN19" s="41">
        <v>13.94</v>
      </c>
      <c r="CO19" s="42"/>
      <c r="CQ19" s="40"/>
      <c r="CR19" s="41">
        <v>13.97</v>
      </c>
      <c r="CS19" s="41">
        <v>14.11</v>
      </c>
      <c r="CT19" s="42"/>
      <c r="CV19" s="40"/>
      <c r="CW19" s="42">
        <v>13.6</v>
      </c>
      <c r="CY19" s="40"/>
      <c r="CZ19" s="41">
        <v>13.68</v>
      </c>
      <c r="DA19" s="41">
        <v>13.22</v>
      </c>
      <c r="DB19" s="42">
        <v>13.75</v>
      </c>
      <c r="DD19" s="40"/>
      <c r="DE19" s="41">
        <v>13.28</v>
      </c>
      <c r="DF19" s="41">
        <v>13.41</v>
      </c>
      <c r="DG19" s="41">
        <v>13.29</v>
      </c>
      <c r="DH19" s="42">
        <v>13.43</v>
      </c>
      <c r="DJ19" s="40"/>
      <c r="DK19" s="41">
        <v>13.57</v>
      </c>
      <c r="DL19" s="41">
        <v>13.55</v>
      </c>
      <c r="DM19" s="42">
        <v>13.48</v>
      </c>
      <c r="DO19" s="40"/>
      <c r="DP19" s="41">
        <v>13.34</v>
      </c>
      <c r="DQ19" s="41">
        <v>13.57</v>
      </c>
      <c r="DR19" s="41">
        <v>13.65</v>
      </c>
      <c r="DS19" s="41">
        <v>13.19</v>
      </c>
      <c r="DT19" s="42"/>
      <c r="DV19" s="40"/>
      <c r="DW19" s="41">
        <v>13.58</v>
      </c>
      <c r="DX19" s="41">
        <v>13.28</v>
      </c>
      <c r="DY19" s="42"/>
      <c r="EA19" s="40"/>
      <c r="EB19" s="41">
        <v>13.23</v>
      </c>
      <c r="EC19" s="41">
        <v>13.27</v>
      </c>
      <c r="ED19" s="41">
        <v>13.34</v>
      </c>
      <c r="EE19" s="41">
        <v>13.33</v>
      </c>
      <c r="EF19" s="42"/>
      <c r="EH19" s="40"/>
      <c r="EI19" s="41">
        <v>13.9</v>
      </c>
      <c r="EJ19" s="42">
        <v>14.15</v>
      </c>
      <c r="EL19" s="40"/>
      <c r="EM19" s="41">
        <v>13.46</v>
      </c>
      <c r="EN19" s="42"/>
      <c r="EV19" s="40"/>
      <c r="EW19" s="42">
        <v>13.95</v>
      </c>
      <c r="EY19" s="40"/>
      <c r="EZ19" s="42"/>
      <c r="FA19" s="46"/>
      <c r="FB19" s="40"/>
      <c r="FC19" s="42">
        <v>13.7</v>
      </c>
      <c r="FD19" s="46"/>
      <c r="FE19" s="40"/>
      <c r="FF19" s="41">
        <v>13.9</v>
      </c>
      <c r="FG19" s="42"/>
      <c r="FI19" s="40"/>
      <c r="FJ19" s="41">
        <v>13.62</v>
      </c>
      <c r="FK19" s="42"/>
      <c r="FM19" s="40"/>
      <c r="FN19" s="41">
        <v>13.28</v>
      </c>
      <c r="FO19" s="41">
        <v>13.35</v>
      </c>
      <c r="FP19" s="41">
        <v>13.75</v>
      </c>
      <c r="FQ19" s="41">
        <v>13.46</v>
      </c>
      <c r="FR19" s="41">
        <v>13.61</v>
      </c>
      <c r="FS19" s="42"/>
      <c r="GC19" s="40"/>
      <c r="GD19" s="41">
        <v>13.91</v>
      </c>
      <c r="GE19" s="41">
        <v>13.78</v>
      </c>
      <c r="GF19" s="42"/>
      <c r="GH19" s="40"/>
      <c r="GI19" s="42"/>
      <c r="GK19" s="40"/>
      <c r="GL19" s="41">
        <v>13.62</v>
      </c>
      <c r="GM19" s="42"/>
      <c r="GO19" s="40"/>
      <c r="GP19" s="41">
        <v>13.35</v>
      </c>
      <c r="GQ19" s="42"/>
      <c r="GS19" s="40"/>
      <c r="GT19" s="41">
        <v>14.08</v>
      </c>
      <c r="GU19" s="41">
        <v>13.94</v>
      </c>
      <c r="GV19" s="42">
        <v>13.87</v>
      </c>
      <c r="GX19" s="40"/>
      <c r="GY19" s="41">
        <v>14.42</v>
      </c>
      <c r="GZ19" s="41">
        <v>14.21</v>
      </c>
      <c r="HA19" s="42"/>
      <c r="HC19" s="40"/>
      <c r="HD19" s="41">
        <v>13.87</v>
      </c>
      <c r="HE19" s="42">
        <v>13.59</v>
      </c>
      <c r="HG19" s="40"/>
      <c r="HH19" s="41">
        <v>13.71</v>
      </c>
      <c r="HI19" s="41">
        <v>13.81</v>
      </c>
      <c r="HJ19" s="41">
        <v>13.86</v>
      </c>
      <c r="HK19" s="41">
        <v>13.86</v>
      </c>
      <c r="HL19" s="42">
        <v>13.91</v>
      </c>
      <c r="HN19" s="40"/>
      <c r="HO19" s="41">
        <v>13.65</v>
      </c>
      <c r="HP19" s="41">
        <v>13.7</v>
      </c>
      <c r="HQ19" s="41">
        <v>13.48</v>
      </c>
      <c r="HR19" s="42"/>
      <c r="HT19" s="40"/>
      <c r="HU19" s="41">
        <v>13.47</v>
      </c>
      <c r="HV19" s="41">
        <v>13.37</v>
      </c>
      <c r="HW19" s="41">
        <v>13.32</v>
      </c>
      <c r="HX19" s="42">
        <v>13.6</v>
      </c>
      <c r="HZ19" s="40"/>
      <c r="IA19" s="41">
        <v>13.53</v>
      </c>
      <c r="IB19" s="41">
        <v>13.12</v>
      </c>
      <c r="IC19" s="42"/>
      <c r="IE19" s="40"/>
      <c r="IF19" s="41">
        <v>13.79</v>
      </c>
      <c r="IG19" s="42"/>
      <c r="II19" s="40"/>
      <c r="IJ19" s="41">
        <v>13.75</v>
      </c>
      <c r="IK19" s="41">
        <v>13.7</v>
      </c>
      <c r="IL19" s="41">
        <v>13.68</v>
      </c>
      <c r="IM19" s="42"/>
      <c r="IO19" s="40"/>
      <c r="IP19" s="41">
        <v>13.35</v>
      </c>
      <c r="IQ19" s="41">
        <v>13.32</v>
      </c>
      <c r="IR19" s="41">
        <v>13.32</v>
      </c>
      <c r="IS19" s="42"/>
      <c r="IU19" s="40"/>
      <c r="IV19" s="41">
        <v>13.8</v>
      </c>
      <c r="IW19" s="41">
        <v>13.33</v>
      </c>
      <c r="IX19" s="42"/>
      <c r="IZ19" s="40"/>
      <c r="JA19" s="41">
        <v>13.24</v>
      </c>
      <c r="JB19" s="41">
        <v>13.32</v>
      </c>
      <c r="JC19" s="42"/>
      <c r="JE19" s="40"/>
      <c r="JF19" s="41">
        <v>13.68</v>
      </c>
      <c r="JG19" s="42"/>
      <c r="JI19" s="40"/>
      <c r="JJ19" s="41">
        <v>13.73</v>
      </c>
      <c r="JK19" s="41">
        <v>13.71</v>
      </c>
      <c r="JL19" s="42">
        <v>13.71</v>
      </c>
      <c r="JN19" s="40"/>
      <c r="JO19" s="41">
        <v>13.97</v>
      </c>
      <c r="JP19" s="41">
        <v>13.85</v>
      </c>
      <c r="JQ19" s="42"/>
      <c r="JS19" s="40"/>
      <c r="JT19" s="41">
        <v>13.96</v>
      </c>
      <c r="JU19" s="41">
        <v>13.94</v>
      </c>
      <c r="JV19" s="42">
        <v>13.87</v>
      </c>
      <c r="KA19" s="40"/>
      <c r="KB19" s="41">
        <v>13.59</v>
      </c>
      <c r="KC19" s="41">
        <v>13.7</v>
      </c>
      <c r="KD19" s="42"/>
      <c r="KI19" s="40"/>
      <c r="KJ19" s="41">
        <v>13.53</v>
      </c>
      <c r="KK19" s="41">
        <v>13.33</v>
      </c>
      <c r="KL19" s="42"/>
      <c r="KN19" s="40"/>
      <c r="KO19" s="41">
        <v>13.34</v>
      </c>
      <c r="KP19" s="41">
        <v>13.46</v>
      </c>
      <c r="KQ19" s="41">
        <v>13.77</v>
      </c>
      <c r="KR19" s="41">
        <v>13.2</v>
      </c>
      <c r="KS19" s="41">
        <v>13.36</v>
      </c>
      <c r="KT19" s="42"/>
    </row>
    <row r="20" spans="1:306" x14ac:dyDescent="0.25">
      <c r="A20" s="22"/>
      <c r="B20" s="23"/>
      <c r="C20" s="28"/>
      <c r="D20" s="36"/>
      <c r="E20" s="24"/>
      <c r="F20" s="24"/>
      <c r="G20" s="24"/>
      <c r="H20" s="23"/>
      <c r="I20" s="25">
        <f t="shared" si="7"/>
        <v>0</v>
      </c>
      <c r="L20" s="40"/>
      <c r="M20" s="41">
        <v>14.44</v>
      </c>
      <c r="N20" s="41">
        <v>14.4</v>
      </c>
      <c r="O20" s="41">
        <v>14.32</v>
      </c>
      <c r="P20" s="41">
        <v>14.17</v>
      </c>
      <c r="Q20" s="42"/>
      <c r="S20" s="40"/>
      <c r="T20" s="41">
        <v>14.02</v>
      </c>
      <c r="U20" s="41">
        <v>13.78</v>
      </c>
      <c r="V20" s="41">
        <v>13.9</v>
      </c>
      <c r="W20" s="41">
        <v>13.73</v>
      </c>
      <c r="X20" s="69">
        <v>13.66</v>
      </c>
      <c r="Y20" s="69">
        <v>13.57</v>
      </c>
      <c r="Z20" s="41">
        <v>13.62</v>
      </c>
      <c r="AA20" s="41">
        <v>13.44</v>
      </c>
      <c r="AB20" s="41">
        <v>13.73</v>
      </c>
      <c r="AC20" s="41">
        <v>13.74</v>
      </c>
      <c r="AD20" s="41">
        <v>13.4</v>
      </c>
      <c r="AE20" s="41">
        <v>13.79</v>
      </c>
      <c r="AF20" s="41">
        <v>13.72</v>
      </c>
      <c r="AG20" s="41">
        <v>13.75</v>
      </c>
      <c r="AH20" s="42"/>
      <c r="AJ20" s="40"/>
      <c r="AK20" s="41">
        <v>13.84</v>
      </c>
      <c r="AL20" s="41">
        <v>13.77</v>
      </c>
      <c r="AM20" s="41">
        <v>13.87</v>
      </c>
      <c r="AN20" s="41">
        <v>13.91</v>
      </c>
      <c r="AO20" s="41">
        <v>13.79</v>
      </c>
      <c r="AP20" s="41">
        <v>13.9</v>
      </c>
      <c r="AQ20" s="42"/>
      <c r="AS20" s="40"/>
      <c r="AT20" s="41">
        <v>13.92</v>
      </c>
      <c r="AU20" s="41">
        <v>14.07</v>
      </c>
      <c r="AV20" s="41">
        <v>14.08</v>
      </c>
      <c r="AW20" s="41">
        <v>14.12</v>
      </c>
      <c r="AX20" s="41">
        <v>14.02</v>
      </c>
      <c r="AY20" s="41">
        <v>14.1</v>
      </c>
      <c r="AZ20" s="41">
        <v>14.13</v>
      </c>
      <c r="BA20" s="41">
        <v>14.19</v>
      </c>
      <c r="BB20" s="42">
        <v>14.18</v>
      </c>
      <c r="BD20" s="40"/>
      <c r="BE20" s="41">
        <v>13.86</v>
      </c>
      <c r="BF20" s="41">
        <v>13.94</v>
      </c>
      <c r="BG20" s="41">
        <v>13.79</v>
      </c>
      <c r="BH20" s="41">
        <v>13.52</v>
      </c>
      <c r="BI20" s="42"/>
      <c r="BK20" s="40"/>
      <c r="BL20" s="41">
        <v>13.89</v>
      </c>
      <c r="BM20" s="41">
        <v>13.95</v>
      </c>
      <c r="BN20" s="41">
        <v>13.91</v>
      </c>
      <c r="BO20" s="41">
        <v>13.87</v>
      </c>
      <c r="BP20" s="41">
        <v>13.9</v>
      </c>
      <c r="BQ20" s="41">
        <v>13.85</v>
      </c>
      <c r="BR20" s="41">
        <v>13.64</v>
      </c>
      <c r="BS20" s="41">
        <v>13.67</v>
      </c>
      <c r="BT20" s="41">
        <v>13.31</v>
      </c>
      <c r="BU20" s="41">
        <v>13.71</v>
      </c>
      <c r="BV20" s="41">
        <v>13.79</v>
      </c>
      <c r="BW20" s="42"/>
      <c r="BY20" s="40"/>
      <c r="BZ20" s="41">
        <v>13.43</v>
      </c>
      <c r="CA20" s="41">
        <v>13.37</v>
      </c>
      <c r="CB20" s="41">
        <v>13.71</v>
      </c>
      <c r="CC20" s="42"/>
      <c r="CE20" s="40"/>
      <c r="CF20" s="41">
        <v>13.73</v>
      </c>
      <c r="CG20" s="41">
        <v>13.6</v>
      </c>
      <c r="CH20" s="42"/>
      <c r="CJ20" s="40"/>
      <c r="CK20" s="41">
        <v>13.38</v>
      </c>
      <c r="CL20" s="41">
        <v>14.02</v>
      </c>
      <c r="CM20" s="41">
        <v>13.84</v>
      </c>
      <c r="CN20" s="41">
        <v>14</v>
      </c>
      <c r="CO20" s="42"/>
      <c r="CQ20" s="40"/>
      <c r="CR20" s="41">
        <v>14.09</v>
      </c>
      <c r="CS20" s="41">
        <v>14.07</v>
      </c>
      <c r="CT20" s="42"/>
      <c r="CV20" s="40"/>
      <c r="CW20" s="42">
        <v>13.6</v>
      </c>
      <c r="CY20" s="40"/>
      <c r="CZ20" s="41">
        <v>13.64</v>
      </c>
      <c r="DA20" s="41">
        <v>13.33</v>
      </c>
      <c r="DB20" s="42">
        <v>13.88</v>
      </c>
      <c r="DD20" s="40"/>
      <c r="DE20" s="41">
        <v>13.29</v>
      </c>
      <c r="DF20" s="41">
        <v>13.48</v>
      </c>
      <c r="DG20" s="41">
        <v>13.39</v>
      </c>
      <c r="DH20" s="42">
        <v>13.23</v>
      </c>
      <c r="DJ20" s="40"/>
      <c r="DK20" s="41">
        <v>13.5</v>
      </c>
      <c r="DL20" s="41">
        <v>13.42</v>
      </c>
      <c r="DM20" s="42">
        <v>13.48</v>
      </c>
      <c r="DO20" s="40"/>
      <c r="DP20" s="41">
        <v>13.55</v>
      </c>
      <c r="DQ20" s="41">
        <v>13.6</v>
      </c>
      <c r="DR20" s="41">
        <v>13.67</v>
      </c>
      <c r="DS20" s="41">
        <v>13.22</v>
      </c>
      <c r="DT20" s="42"/>
      <c r="DV20" s="40"/>
      <c r="DW20" s="41">
        <v>13.54</v>
      </c>
      <c r="DX20" s="41">
        <v>13.29</v>
      </c>
      <c r="DY20" s="42"/>
      <c r="EA20" s="40"/>
      <c r="EB20" s="41">
        <v>13.27</v>
      </c>
      <c r="EC20" s="41">
        <v>13.26</v>
      </c>
      <c r="ED20" s="41">
        <v>13.42</v>
      </c>
      <c r="EE20" s="41">
        <v>13.44</v>
      </c>
      <c r="EF20" s="42"/>
      <c r="EH20" s="40"/>
      <c r="EI20" s="41">
        <v>13.85</v>
      </c>
      <c r="EJ20" s="42">
        <v>14.56</v>
      </c>
      <c r="EL20" s="40"/>
      <c r="EM20" s="41">
        <v>13.3</v>
      </c>
      <c r="EN20" s="42"/>
      <c r="EV20" s="40"/>
      <c r="EW20" s="42">
        <v>13.45</v>
      </c>
      <c r="EY20" s="40"/>
      <c r="EZ20" s="42"/>
      <c r="FA20" s="46"/>
      <c r="FB20" s="40"/>
      <c r="FC20" s="42">
        <v>13.72</v>
      </c>
      <c r="FD20" s="46"/>
      <c r="FE20" s="40"/>
      <c r="FF20" s="41">
        <v>13.8</v>
      </c>
      <c r="FG20" s="42"/>
      <c r="FI20" s="40"/>
      <c r="FJ20" s="41">
        <v>13.59</v>
      </c>
      <c r="FK20" s="42"/>
      <c r="FM20" s="40"/>
      <c r="FN20" s="41">
        <v>13.65</v>
      </c>
      <c r="FO20" s="41">
        <v>13.53</v>
      </c>
      <c r="FP20" s="41">
        <v>13.7</v>
      </c>
      <c r="FQ20" s="41">
        <v>13.81</v>
      </c>
      <c r="FR20" s="41">
        <v>13.67</v>
      </c>
      <c r="FS20" s="42"/>
      <c r="GC20" s="40"/>
      <c r="GD20" s="41">
        <v>13.94</v>
      </c>
      <c r="GE20" s="41">
        <v>13.74</v>
      </c>
      <c r="GF20" s="42"/>
      <c r="GH20" s="40"/>
      <c r="GI20" s="42"/>
      <c r="GK20" s="40"/>
      <c r="GL20" s="41">
        <v>13.63</v>
      </c>
      <c r="GM20" s="42"/>
      <c r="GO20" s="40"/>
      <c r="GP20" s="41">
        <v>13.35</v>
      </c>
      <c r="GQ20" s="42"/>
      <c r="GS20" s="40"/>
      <c r="GT20" s="41">
        <v>14.05</v>
      </c>
      <c r="GU20" s="41">
        <v>13.99</v>
      </c>
      <c r="GV20" s="42">
        <v>13.93</v>
      </c>
      <c r="GX20" s="40"/>
      <c r="GY20" s="41">
        <v>14.44</v>
      </c>
      <c r="GZ20" s="41">
        <v>14.19</v>
      </c>
      <c r="HA20" s="42"/>
      <c r="HC20" s="40"/>
      <c r="HD20" s="41">
        <v>13.97</v>
      </c>
      <c r="HE20" s="42">
        <v>13.72</v>
      </c>
      <c r="HG20" s="40"/>
      <c r="HH20" s="41">
        <v>13.84</v>
      </c>
      <c r="HI20" s="41">
        <v>13.83</v>
      </c>
      <c r="HJ20" s="41">
        <v>13.87</v>
      </c>
      <c r="HK20" s="41">
        <v>13.87</v>
      </c>
      <c r="HL20" s="42"/>
      <c r="HN20" s="40"/>
      <c r="HO20" s="41">
        <v>13.69</v>
      </c>
      <c r="HP20" s="41">
        <v>13.75</v>
      </c>
      <c r="HQ20" s="41">
        <v>13.66</v>
      </c>
      <c r="HR20" s="42"/>
      <c r="HT20" s="40"/>
      <c r="HU20" s="41">
        <v>13.01</v>
      </c>
      <c r="HV20" s="41">
        <v>13.27</v>
      </c>
      <c r="HW20" s="41">
        <v>13.48</v>
      </c>
      <c r="HX20" s="42">
        <v>13.64</v>
      </c>
      <c r="HZ20" s="40"/>
      <c r="IA20" s="41">
        <v>13.56</v>
      </c>
      <c r="IB20" s="41">
        <v>13.17</v>
      </c>
      <c r="IC20" s="42"/>
      <c r="IE20" s="40"/>
      <c r="IF20" s="41">
        <v>13.84</v>
      </c>
      <c r="IG20" s="42"/>
      <c r="II20" s="40"/>
      <c r="IJ20" s="41">
        <v>13.79</v>
      </c>
      <c r="IK20" s="41">
        <v>13.67</v>
      </c>
      <c r="IL20" s="41">
        <v>13.7</v>
      </c>
      <c r="IM20" s="42"/>
      <c r="IO20" s="40"/>
      <c r="IP20" s="41">
        <v>13.23</v>
      </c>
      <c r="IQ20" s="41">
        <v>13.34</v>
      </c>
      <c r="IR20" s="41">
        <v>13.3</v>
      </c>
      <c r="IS20" s="42"/>
      <c r="IU20" s="40"/>
      <c r="IV20" s="41">
        <v>13.8</v>
      </c>
      <c r="IW20" s="41">
        <v>13.48</v>
      </c>
      <c r="IX20" s="42"/>
      <c r="IZ20" s="40"/>
      <c r="JA20" s="41">
        <v>13.4</v>
      </c>
      <c r="JB20" s="41">
        <v>13.51</v>
      </c>
      <c r="JC20" s="42"/>
      <c r="JE20" s="40"/>
      <c r="JF20" s="41">
        <v>13.51</v>
      </c>
      <c r="JG20" s="42"/>
      <c r="JI20" s="40"/>
      <c r="JJ20" s="41">
        <v>13.73</v>
      </c>
      <c r="JK20" s="41">
        <v>13.71</v>
      </c>
      <c r="JL20" s="42">
        <v>13.74</v>
      </c>
      <c r="JN20" s="40"/>
      <c r="JO20" s="41">
        <v>13.96</v>
      </c>
      <c r="JP20" s="41">
        <v>13.83</v>
      </c>
      <c r="JQ20" s="42"/>
      <c r="JS20" s="40"/>
      <c r="JT20" s="41">
        <v>13.95</v>
      </c>
      <c r="JU20" s="41">
        <v>13.86</v>
      </c>
      <c r="JV20" s="42">
        <v>13.81</v>
      </c>
      <c r="KA20" s="40"/>
      <c r="KB20" s="41">
        <v>13.64</v>
      </c>
      <c r="KC20" s="41">
        <v>13.69</v>
      </c>
      <c r="KD20" s="42"/>
      <c r="KI20" s="40"/>
      <c r="KJ20" s="41">
        <v>13.46</v>
      </c>
      <c r="KK20" s="41">
        <v>13.32</v>
      </c>
      <c r="KL20" s="42"/>
      <c r="KN20" s="40"/>
      <c r="KO20" s="41">
        <v>13.35</v>
      </c>
      <c r="KP20" s="41">
        <v>13.31</v>
      </c>
      <c r="KQ20" s="41">
        <v>13.86</v>
      </c>
      <c r="KR20" s="41">
        <v>13.27</v>
      </c>
      <c r="KS20" s="41">
        <v>13.41</v>
      </c>
      <c r="KT20" s="42"/>
    </row>
    <row r="21" spans="1:306" x14ac:dyDescent="0.25">
      <c r="A21" s="22" t="s">
        <v>35</v>
      </c>
      <c r="B21" s="23" t="s">
        <v>64</v>
      </c>
      <c r="C21" s="28">
        <f>((0.05+0.07+0.35+0.15)+(0.05+0.07+0.35+0.15-0.15))/2</f>
        <v>0.54499999999999993</v>
      </c>
      <c r="D21" s="36">
        <v>13.85</v>
      </c>
      <c r="E21" s="24">
        <f t="shared" si="1"/>
        <v>13.305</v>
      </c>
      <c r="F21" s="24">
        <f>EJ23</f>
        <v>13.715128205128208</v>
      </c>
      <c r="G21" s="24">
        <f>E21-F21</f>
        <v>-0.41012820512820802</v>
      </c>
      <c r="H21" s="23">
        <f>38.21+109.24*0.15</f>
        <v>54.596000000000004</v>
      </c>
      <c r="I21" s="25">
        <f t="shared" si="7"/>
        <v>-22.391359487179646</v>
      </c>
      <c r="L21" s="40"/>
      <c r="M21" s="41">
        <v>14</v>
      </c>
      <c r="N21" s="41">
        <v>14.39</v>
      </c>
      <c r="O21" s="41">
        <v>14.32</v>
      </c>
      <c r="P21" s="41">
        <v>14.16</v>
      </c>
      <c r="Q21" s="42"/>
      <c r="S21" s="40"/>
      <c r="T21" s="41">
        <v>13.99</v>
      </c>
      <c r="U21" s="41">
        <v>13.96</v>
      </c>
      <c r="V21" s="41">
        <v>13.81</v>
      </c>
      <c r="W21" s="41">
        <v>13.56</v>
      </c>
      <c r="X21" s="69">
        <v>13.84</v>
      </c>
      <c r="Y21" s="69">
        <v>13.5</v>
      </c>
      <c r="Z21" s="41">
        <v>13.64</v>
      </c>
      <c r="AA21" s="41">
        <v>13.37</v>
      </c>
      <c r="AB21" s="41">
        <v>13.64</v>
      </c>
      <c r="AC21" s="41">
        <v>13.71</v>
      </c>
      <c r="AD21" s="41">
        <v>13.27</v>
      </c>
      <c r="AE21" s="41">
        <v>13.78</v>
      </c>
      <c r="AF21" s="41">
        <v>13.77</v>
      </c>
      <c r="AG21" s="41">
        <v>13.75</v>
      </c>
      <c r="AH21" s="42"/>
      <c r="AJ21" s="40"/>
      <c r="AK21" s="41">
        <v>13.72</v>
      </c>
      <c r="AL21" s="41">
        <v>13.56</v>
      </c>
      <c r="AM21" s="41">
        <v>13.76</v>
      </c>
      <c r="AN21" s="41">
        <v>13.54</v>
      </c>
      <c r="AO21" s="41">
        <v>13.89</v>
      </c>
      <c r="AP21" s="41">
        <v>13.84</v>
      </c>
      <c r="AQ21" s="42"/>
      <c r="AS21" s="40"/>
      <c r="AT21" s="41">
        <v>13.9</v>
      </c>
      <c r="AU21" s="41">
        <v>13.85</v>
      </c>
      <c r="AV21" s="41">
        <v>14</v>
      </c>
      <c r="AW21" s="41">
        <v>14.01</v>
      </c>
      <c r="AX21" s="41">
        <v>14.05</v>
      </c>
      <c r="AY21" s="41">
        <v>14.09</v>
      </c>
      <c r="AZ21" s="41">
        <v>14.15</v>
      </c>
      <c r="BA21" s="41">
        <v>14.21</v>
      </c>
      <c r="BB21" s="42">
        <v>14.13</v>
      </c>
      <c r="BD21" s="40"/>
      <c r="BE21" s="41">
        <v>13.57</v>
      </c>
      <c r="BF21" s="41">
        <v>13.78</v>
      </c>
      <c r="BG21" s="41">
        <v>13.94</v>
      </c>
      <c r="BH21" s="41">
        <v>13.89</v>
      </c>
      <c r="BI21" s="42"/>
      <c r="BK21" s="40"/>
      <c r="BL21" s="41">
        <v>13.88</v>
      </c>
      <c r="BM21" s="41">
        <v>13.97</v>
      </c>
      <c r="BN21" s="41">
        <v>13.78</v>
      </c>
      <c r="BO21" s="41">
        <v>13.87</v>
      </c>
      <c r="BP21" s="41">
        <v>13.88</v>
      </c>
      <c r="BQ21" s="41">
        <v>13.87</v>
      </c>
      <c r="BR21" s="41">
        <v>13.69</v>
      </c>
      <c r="BS21" s="41">
        <v>13.64</v>
      </c>
      <c r="BT21" s="41">
        <v>13.66</v>
      </c>
      <c r="BU21" s="41">
        <v>13.71</v>
      </c>
      <c r="BV21" s="41">
        <v>13.79</v>
      </c>
      <c r="BW21" s="42"/>
      <c r="BY21" s="40"/>
      <c r="BZ21" s="41">
        <v>13.6</v>
      </c>
      <c r="CA21" s="41">
        <v>13.32</v>
      </c>
      <c r="CB21" s="41">
        <v>13.75</v>
      </c>
      <c r="CC21" s="42"/>
      <c r="CE21" s="40"/>
      <c r="CF21" s="41">
        <v>13.75</v>
      </c>
      <c r="CG21" s="41">
        <v>13.67</v>
      </c>
      <c r="CH21" s="42"/>
      <c r="CJ21" s="40"/>
      <c r="CK21" s="41">
        <v>13.85</v>
      </c>
      <c r="CL21" s="41">
        <v>14.14</v>
      </c>
      <c r="CM21" s="41">
        <v>13.86</v>
      </c>
      <c r="CN21" s="41">
        <v>14</v>
      </c>
      <c r="CO21" s="42"/>
      <c r="CQ21" s="40"/>
      <c r="CR21" s="41">
        <v>13.85</v>
      </c>
      <c r="CS21" s="41">
        <v>14.01</v>
      </c>
      <c r="CT21" s="42"/>
      <c r="CV21" s="40"/>
      <c r="CW21" s="42">
        <v>13.62</v>
      </c>
      <c r="CY21" s="40"/>
      <c r="CZ21" s="41">
        <v>13.69</v>
      </c>
      <c r="DA21" s="41">
        <v>13.21</v>
      </c>
      <c r="DB21" s="42">
        <v>13.76</v>
      </c>
      <c r="DD21" s="40"/>
      <c r="DE21" s="41">
        <v>13.29</v>
      </c>
      <c r="DF21" s="41">
        <v>13.45</v>
      </c>
      <c r="DG21" s="41">
        <v>13.48</v>
      </c>
      <c r="DH21" s="42"/>
      <c r="DJ21" s="40"/>
      <c r="DK21" s="41">
        <v>13.56</v>
      </c>
      <c r="DL21" s="41">
        <v>13.55</v>
      </c>
      <c r="DM21" s="42"/>
      <c r="DO21" s="40"/>
      <c r="DP21" s="41">
        <v>13.31</v>
      </c>
      <c r="DQ21" s="41">
        <v>13.3</v>
      </c>
      <c r="DR21" s="41">
        <v>13.65</v>
      </c>
      <c r="DS21" s="41">
        <v>13.37</v>
      </c>
      <c r="DT21" s="42"/>
      <c r="DV21" s="40"/>
      <c r="DW21" s="41">
        <v>13.55</v>
      </c>
      <c r="DX21" s="41">
        <v>13.28</v>
      </c>
      <c r="DY21" s="42"/>
      <c r="EA21" s="40"/>
      <c r="EB21" s="41">
        <v>13.3</v>
      </c>
      <c r="EC21" s="41">
        <v>13.5</v>
      </c>
      <c r="ED21" s="41">
        <v>13.33</v>
      </c>
      <c r="EE21" s="41">
        <v>13.41</v>
      </c>
      <c r="EF21" s="42"/>
      <c r="EH21" s="40"/>
      <c r="EI21" s="41">
        <v>13.6</v>
      </c>
      <c r="EJ21" s="42">
        <v>14.21</v>
      </c>
      <c r="EL21" s="40"/>
      <c r="EM21" s="41">
        <v>13.46</v>
      </c>
      <c r="EN21" s="42"/>
      <c r="EV21" s="40"/>
      <c r="EW21" s="42"/>
      <c r="EY21" s="40"/>
      <c r="EZ21" s="42"/>
      <c r="FA21" s="46"/>
      <c r="FB21" s="40"/>
      <c r="FC21" s="42"/>
      <c r="FD21" s="46"/>
      <c r="FE21" s="40"/>
      <c r="FF21" s="41">
        <v>13.89</v>
      </c>
      <c r="FG21" s="42"/>
      <c r="FI21" s="40"/>
      <c r="FJ21" s="41">
        <v>13.64</v>
      </c>
      <c r="FK21" s="42"/>
      <c r="FM21" s="40"/>
      <c r="FN21" s="41">
        <v>13.47</v>
      </c>
      <c r="FO21" s="41">
        <v>13.37</v>
      </c>
      <c r="FP21" s="41">
        <v>13.72</v>
      </c>
      <c r="FQ21" s="41">
        <v>13.47</v>
      </c>
      <c r="FR21" s="41">
        <v>13.6</v>
      </c>
      <c r="FS21" s="42"/>
      <c r="GC21" s="40"/>
      <c r="GD21" s="41">
        <v>13.93</v>
      </c>
      <c r="GE21" s="41">
        <v>13.74</v>
      </c>
      <c r="GF21" s="42"/>
      <c r="GH21" s="40"/>
      <c r="GI21" s="42"/>
      <c r="GK21" s="40"/>
      <c r="GL21" s="41">
        <v>13.63</v>
      </c>
      <c r="GM21" s="42"/>
      <c r="GO21" s="40"/>
      <c r="GP21" s="41">
        <v>13.35</v>
      </c>
      <c r="GQ21" s="42"/>
      <c r="GS21" s="40"/>
      <c r="GT21" s="41">
        <v>14.02</v>
      </c>
      <c r="GU21" s="41">
        <v>13.94</v>
      </c>
      <c r="GV21" s="42"/>
      <c r="GX21" s="40"/>
      <c r="GY21" s="41">
        <v>14.41</v>
      </c>
      <c r="GZ21" s="41">
        <v>14.17</v>
      </c>
      <c r="HA21" s="42"/>
      <c r="HC21" s="40"/>
      <c r="HD21" s="41">
        <v>14.09</v>
      </c>
      <c r="HE21" s="42">
        <v>13.65</v>
      </c>
      <c r="HG21" s="40"/>
      <c r="HH21" s="41">
        <v>13.84</v>
      </c>
      <c r="HI21" s="41">
        <v>13.84</v>
      </c>
      <c r="HJ21" s="41">
        <v>13.73</v>
      </c>
      <c r="HK21" s="41">
        <v>13.91</v>
      </c>
      <c r="HL21" s="42"/>
      <c r="HN21" s="40"/>
      <c r="HO21" s="41">
        <v>13.72</v>
      </c>
      <c r="HP21" s="41">
        <v>13.65</v>
      </c>
      <c r="HQ21" s="41">
        <v>13.78</v>
      </c>
      <c r="HR21" s="42"/>
      <c r="HT21" s="40"/>
      <c r="HU21" s="41">
        <v>13.68</v>
      </c>
      <c r="HV21" s="41">
        <v>13.33</v>
      </c>
      <c r="HW21" s="41">
        <v>13.33</v>
      </c>
      <c r="HX21" s="42">
        <v>13.6</v>
      </c>
      <c r="HZ21" s="40"/>
      <c r="IA21" s="41">
        <v>13.48</v>
      </c>
      <c r="IB21" s="41">
        <v>13.06</v>
      </c>
      <c r="IC21" s="42"/>
      <c r="IE21" s="40"/>
      <c r="IF21" s="41">
        <v>13.89</v>
      </c>
      <c r="IG21" s="42"/>
      <c r="II21" s="40"/>
      <c r="IJ21" s="41">
        <v>13.74</v>
      </c>
      <c r="IK21" s="41">
        <v>13.7</v>
      </c>
      <c r="IL21" s="41">
        <v>13.71</v>
      </c>
      <c r="IM21" s="42"/>
      <c r="IO21" s="40"/>
      <c r="IP21" s="41">
        <v>13.27</v>
      </c>
      <c r="IQ21" s="41">
        <v>13.38</v>
      </c>
      <c r="IR21" s="41">
        <v>13.33</v>
      </c>
      <c r="IS21" s="42"/>
      <c r="IU21" s="40"/>
      <c r="IV21" s="41">
        <v>13.79</v>
      </c>
      <c r="IW21" s="41">
        <v>13.29</v>
      </c>
      <c r="IX21" s="42"/>
      <c r="IZ21" s="40"/>
      <c r="JA21" s="41">
        <v>13.21</v>
      </c>
      <c r="JB21" s="41">
        <v>13.32</v>
      </c>
      <c r="JC21" s="42"/>
      <c r="JE21" s="40"/>
      <c r="JF21" s="41">
        <v>13.4</v>
      </c>
      <c r="JG21" s="42"/>
      <c r="JI21" s="40"/>
      <c r="JJ21" s="41">
        <v>13.78</v>
      </c>
      <c r="JK21" s="41">
        <v>13.69</v>
      </c>
      <c r="JL21" s="42">
        <v>13.77</v>
      </c>
      <c r="JN21" s="40"/>
      <c r="JO21" s="41">
        <v>13.95</v>
      </c>
      <c r="JP21" s="41">
        <v>13.88</v>
      </c>
      <c r="JQ21" s="42"/>
      <c r="JS21" s="40"/>
      <c r="JT21" s="41">
        <v>13.94</v>
      </c>
      <c r="JU21" s="41">
        <v>13.76</v>
      </c>
      <c r="JV21" s="42">
        <v>14.02</v>
      </c>
      <c r="KA21" s="40"/>
      <c r="KB21" s="41">
        <v>13.61</v>
      </c>
      <c r="KC21" s="41">
        <v>13.68</v>
      </c>
      <c r="KD21" s="42"/>
      <c r="KI21" s="40"/>
      <c r="KJ21" s="41">
        <v>13.39</v>
      </c>
      <c r="KK21" s="41">
        <v>13.29</v>
      </c>
      <c r="KL21" s="42"/>
      <c r="KN21" s="40"/>
      <c r="KO21" s="41">
        <v>13.33</v>
      </c>
      <c r="KP21" s="41">
        <v>13.23</v>
      </c>
      <c r="KQ21" s="41">
        <v>13.74</v>
      </c>
      <c r="KR21" s="41">
        <v>13.27</v>
      </c>
      <c r="KS21" s="41">
        <v>13.37</v>
      </c>
      <c r="KT21" s="42"/>
    </row>
    <row r="22" spans="1:306" ht="15.75" thickBot="1" x14ac:dyDescent="0.3">
      <c r="A22" s="22"/>
      <c r="B22" s="23" t="s">
        <v>64</v>
      </c>
      <c r="C22" s="28">
        <f>((0.05+0.07+0.35+0.15)+(0.05+0.07+0.35+0.15-0.15))/2</f>
        <v>0.54499999999999993</v>
      </c>
      <c r="D22" s="36">
        <v>13.85</v>
      </c>
      <c r="E22" s="24">
        <f t="shared" si="1"/>
        <v>13.305</v>
      </c>
      <c r="F22" s="24">
        <f>(13.45+13.3)/2</f>
        <v>13.375</v>
      </c>
      <c r="G22" s="24">
        <f>E22-F22</f>
        <v>-7.0000000000000284E-2</v>
      </c>
      <c r="H22" s="23">
        <f>7.95+0.15*22.99</f>
        <v>11.3985</v>
      </c>
      <c r="I22" s="25">
        <f t="shared" si="7"/>
        <v>-0.79789500000000324</v>
      </c>
      <c r="L22" s="43"/>
      <c r="M22" s="44">
        <v>14.44</v>
      </c>
      <c r="N22" s="44">
        <v>14.12</v>
      </c>
      <c r="O22" s="44">
        <v>14.3</v>
      </c>
      <c r="P22" s="44">
        <v>14.18</v>
      </c>
      <c r="Q22" s="45"/>
      <c r="S22" s="43"/>
      <c r="T22" s="44">
        <v>13.94</v>
      </c>
      <c r="U22" s="44">
        <v>13.96</v>
      </c>
      <c r="V22" s="44">
        <v>13.73</v>
      </c>
      <c r="W22" s="44">
        <v>13.41</v>
      </c>
      <c r="X22" s="70">
        <v>13.85</v>
      </c>
      <c r="Y22" s="70">
        <v>13.42</v>
      </c>
      <c r="Z22" s="44">
        <v>13.92</v>
      </c>
      <c r="AA22" s="44">
        <v>13.58</v>
      </c>
      <c r="AB22" s="44">
        <v>13.55</v>
      </c>
      <c r="AC22" s="44">
        <v>13.53</v>
      </c>
      <c r="AD22" s="44">
        <v>13.66</v>
      </c>
      <c r="AE22" s="44">
        <v>13.48</v>
      </c>
      <c r="AF22" s="44">
        <v>13.57</v>
      </c>
      <c r="AG22" s="44">
        <v>13.75</v>
      </c>
      <c r="AH22" s="45"/>
      <c r="AJ22" s="43"/>
      <c r="AK22" s="44">
        <v>13.58</v>
      </c>
      <c r="AL22" s="44">
        <v>13.46</v>
      </c>
      <c r="AM22" s="44">
        <v>13.68</v>
      </c>
      <c r="AN22" s="44">
        <v>13.91</v>
      </c>
      <c r="AO22" s="44">
        <v>13.91</v>
      </c>
      <c r="AP22" s="44">
        <v>13.87</v>
      </c>
      <c r="AQ22" s="45"/>
      <c r="AS22" s="43"/>
      <c r="AT22" s="44">
        <v>13.87</v>
      </c>
      <c r="AU22" s="44">
        <v>13.97</v>
      </c>
      <c r="AV22" s="44">
        <v>14.01</v>
      </c>
      <c r="AW22" s="44">
        <v>14.03</v>
      </c>
      <c r="AX22" s="44">
        <v>14.27</v>
      </c>
      <c r="AY22" s="44">
        <v>14.08</v>
      </c>
      <c r="AZ22" s="44">
        <v>14.11</v>
      </c>
      <c r="BA22" s="44">
        <v>14.17</v>
      </c>
      <c r="BB22" s="45"/>
      <c r="BD22" s="43"/>
      <c r="BE22" s="44">
        <v>13.77</v>
      </c>
      <c r="BF22" s="44">
        <v>13.74</v>
      </c>
      <c r="BG22" s="44">
        <v>13.94</v>
      </c>
      <c r="BH22" s="44">
        <v>13.9</v>
      </c>
      <c r="BI22" s="45"/>
      <c r="BK22" s="43"/>
      <c r="BL22" s="44">
        <v>13.88</v>
      </c>
      <c r="BM22" s="44">
        <v>13.95</v>
      </c>
      <c r="BN22" s="44">
        <v>13.59</v>
      </c>
      <c r="BO22" s="44">
        <v>13.52</v>
      </c>
      <c r="BP22" s="44">
        <v>13.62</v>
      </c>
      <c r="BQ22" s="44">
        <v>13.68</v>
      </c>
      <c r="BR22" s="44">
        <v>13.71</v>
      </c>
      <c r="BS22" s="44">
        <v>13.66</v>
      </c>
      <c r="BT22" s="44">
        <v>13.65</v>
      </c>
      <c r="BU22" s="44">
        <v>13.86</v>
      </c>
      <c r="BV22" s="44">
        <v>13.79</v>
      </c>
      <c r="BW22" s="45"/>
      <c r="BY22" s="43"/>
      <c r="BZ22" s="44">
        <v>13.41</v>
      </c>
      <c r="CA22" s="44">
        <v>13.67</v>
      </c>
      <c r="CB22" s="44">
        <v>13.78</v>
      </c>
      <c r="CC22" s="45"/>
      <c r="CE22" s="43"/>
      <c r="CF22" s="44">
        <v>13.73</v>
      </c>
      <c r="CG22" s="44">
        <v>13.69</v>
      </c>
      <c r="CH22" s="45"/>
      <c r="CJ22" s="43"/>
      <c r="CK22" s="44">
        <v>13.42</v>
      </c>
      <c r="CL22" s="44">
        <v>13.99</v>
      </c>
      <c r="CM22" s="44">
        <v>13.77</v>
      </c>
      <c r="CN22" s="44">
        <v>13.97</v>
      </c>
      <c r="CO22" s="45"/>
      <c r="CQ22" s="43"/>
      <c r="CR22" s="44">
        <v>13.94</v>
      </c>
      <c r="CS22" s="44">
        <v>13.98</v>
      </c>
      <c r="CT22" s="45"/>
      <c r="CV22" s="43"/>
      <c r="CW22" s="45">
        <v>13.61</v>
      </c>
      <c r="CY22" s="43"/>
      <c r="CZ22" s="44">
        <v>13.58</v>
      </c>
      <c r="DA22" s="44">
        <v>13.24</v>
      </c>
      <c r="DB22" s="45">
        <v>13.84</v>
      </c>
      <c r="DD22" s="43"/>
      <c r="DE22" s="44">
        <v>13.39</v>
      </c>
      <c r="DF22" s="44">
        <v>13.44</v>
      </c>
      <c r="DG22" s="44">
        <v>13.53</v>
      </c>
      <c r="DH22" s="45"/>
      <c r="DJ22" s="43"/>
      <c r="DK22" s="44">
        <v>13.46</v>
      </c>
      <c r="DL22" s="44">
        <v>13.42</v>
      </c>
      <c r="DM22" s="45"/>
      <c r="DO22" s="43"/>
      <c r="DP22" s="44">
        <v>13.49</v>
      </c>
      <c r="DQ22" s="44">
        <v>13.51</v>
      </c>
      <c r="DR22" s="44">
        <v>13.67</v>
      </c>
      <c r="DS22" s="44">
        <v>13.55</v>
      </c>
      <c r="DT22" s="45"/>
      <c r="DV22" s="43"/>
      <c r="DW22" s="44">
        <v>13.49</v>
      </c>
      <c r="DX22" s="44">
        <v>13.26</v>
      </c>
      <c r="DY22" s="45"/>
      <c r="EA22" s="43"/>
      <c r="EB22" s="44">
        <v>13.36</v>
      </c>
      <c r="EC22" s="44">
        <v>13.38</v>
      </c>
      <c r="ED22" s="44">
        <v>13.4</v>
      </c>
      <c r="EE22" s="44">
        <v>13.38</v>
      </c>
      <c r="EF22" s="45"/>
      <c r="EH22" s="43"/>
      <c r="EI22" s="44">
        <v>13.57</v>
      </c>
      <c r="EJ22" s="45"/>
      <c r="EL22" s="43"/>
      <c r="EM22" s="44">
        <v>13.41</v>
      </c>
      <c r="EN22" s="45"/>
      <c r="EV22" s="43"/>
      <c r="EW22" s="45"/>
      <c r="EY22" s="43"/>
      <c r="EZ22" s="45"/>
      <c r="FA22" s="46"/>
      <c r="FB22" s="43"/>
      <c r="FC22" s="45"/>
      <c r="FD22" s="46"/>
      <c r="FE22" s="43"/>
      <c r="FF22" s="44">
        <v>13.84</v>
      </c>
      <c r="FG22" s="45"/>
      <c r="FI22" s="43"/>
      <c r="FJ22" s="44">
        <v>13.61</v>
      </c>
      <c r="FK22" s="45"/>
      <c r="FM22" s="43"/>
      <c r="FN22" s="44">
        <v>13.65</v>
      </c>
      <c r="FO22" s="44">
        <v>13.49</v>
      </c>
      <c r="FP22" s="44">
        <v>13.82</v>
      </c>
      <c r="FQ22" s="44">
        <v>13.41</v>
      </c>
      <c r="FR22" s="44">
        <v>13.71</v>
      </c>
      <c r="FS22" s="45"/>
      <c r="GC22" s="43"/>
      <c r="GD22" s="44">
        <v>13.92</v>
      </c>
      <c r="GE22" s="44">
        <v>13.74</v>
      </c>
      <c r="GF22" s="45"/>
      <c r="GH22" s="43"/>
      <c r="GI22" s="45"/>
      <c r="GK22" s="43"/>
      <c r="GL22" s="44">
        <v>13.63</v>
      </c>
      <c r="GM22" s="45"/>
      <c r="GO22" s="43"/>
      <c r="GP22" s="44">
        <v>13.7</v>
      </c>
      <c r="GQ22" s="45"/>
      <c r="GS22" s="43"/>
      <c r="GT22" s="44">
        <v>13.99</v>
      </c>
      <c r="GU22" s="44">
        <v>14</v>
      </c>
      <c r="GV22" s="45"/>
      <c r="GX22" s="43"/>
      <c r="GY22" s="44">
        <v>14.43</v>
      </c>
      <c r="GZ22" s="44">
        <v>14.15</v>
      </c>
      <c r="HA22" s="45"/>
      <c r="HC22" s="43"/>
      <c r="HD22" s="44">
        <v>13.85</v>
      </c>
      <c r="HE22" s="45">
        <v>13.6</v>
      </c>
      <c r="HG22" s="43"/>
      <c r="HH22" s="44">
        <v>13.83</v>
      </c>
      <c r="HI22" s="44">
        <v>13.83</v>
      </c>
      <c r="HJ22" s="44">
        <v>13.81</v>
      </c>
      <c r="HK22" s="44">
        <v>13.67</v>
      </c>
      <c r="HL22" s="45"/>
      <c r="HN22" s="43"/>
      <c r="HO22" s="44">
        <v>13.73</v>
      </c>
      <c r="HP22" s="44">
        <v>13.63</v>
      </c>
      <c r="HQ22" s="44">
        <v>13.62</v>
      </c>
      <c r="HR22" s="45"/>
      <c r="HT22" s="43"/>
      <c r="HU22" s="44">
        <v>13.29</v>
      </c>
      <c r="HV22" s="44">
        <v>13.25</v>
      </c>
      <c r="HW22" s="44">
        <v>13.47</v>
      </c>
      <c r="HX22" s="45">
        <v>13.62</v>
      </c>
      <c r="HZ22" s="43"/>
      <c r="IA22" s="44">
        <v>13.53</v>
      </c>
      <c r="IB22" s="44">
        <v>13.44</v>
      </c>
      <c r="IC22" s="45"/>
      <c r="IE22" s="43"/>
      <c r="IF22" s="44">
        <v>13.91</v>
      </c>
      <c r="IG22" s="45"/>
      <c r="II22" s="43"/>
      <c r="IJ22" s="44">
        <v>13.77</v>
      </c>
      <c r="IK22" s="44">
        <v>13.68</v>
      </c>
      <c r="IL22" s="44">
        <v>13.65</v>
      </c>
      <c r="IM22" s="45"/>
      <c r="IO22" s="43"/>
      <c r="IP22" s="44">
        <v>13.2</v>
      </c>
      <c r="IQ22" s="44">
        <v>13.45</v>
      </c>
      <c r="IR22" s="44">
        <v>13.31</v>
      </c>
      <c r="IS22" s="45"/>
      <c r="IU22" s="43"/>
      <c r="IV22" s="44">
        <v>13.43</v>
      </c>
      <c r="IW22" s="44">
        <v>13.41</v>
      </c>
      <c r="IX22" s="45"/>
      <c r="IZ22" s="43"/>
      <c r="JA22" s="44">
        <v>13.57</v>
      </c>
      <c r="JB22" s="44">
        <v>13.4</v>
      </c>
      <c r="JC22" s="45"/>
      <c r="JE22" s="43"/>
      <c r="JF22" s="44">
        <v>13.33</v>
      </c>
      <c r="JG22" s="45"/>
      <c r="JI22" s="43"/>
      <c r="JJ22" s="44">
        <v>13.8</v>
      </c>
      <c r="JK22" s="44">
        <v>13.68</v>
      </c>
      <c r="JL22" s="45">
        <v>13.8</v>
      </c>
      <c r="JN22" s="43"/>
      <c r="JO22" s="44">
        <v>13.94</v>
      </c>
      <c r="JP22" s="44">
        <v>13.6</v>
      </c>
      <c r="JQ22" s="45"/>
      <c r="JS22" s="43"/>
      <c r="JT22" s="44">
        <v>13.87</v>
      </c>
      <c r="JU22" s="44">
        <v>13.82</v>
      </c>
      <c r="JV22" s="45">
        <v>14.02</v>
      </c>
      <c r="KA22" s="43"/>
      <c r="KB22" s="44">
        <v>13.58</v>
      </c>
      <c r="KC22" s="44">
        <v>13.67</v>
      </c>
      <c r="KD22" s="45"/>
      <c r="KI22" s="43"/>
      <c r="KJ22" s="44">
        <v>13.48</v>
      </c>
      <c r="KK22" s="44">
        <v>13.26</v>
      </c>
      <c r="KL22" s="45"/>
      <c r="KN22" s="43"/>
      <c r="KO22" s="44">
        <v>13.29</v>
      </c>
      <c r="KP22" s="44">
        <v>13.17</v>
      </c>
      <c r="KQ22" s="44">
        <v>13.63</v>
      </c>
      <c r="KR22" s="44">
        <v>13.26</v>
      </c>
      <c r="KS22" s="44">
        <v>13.43</v>
      </c>
      <c r="KT22" s="45"/>
    </row>
    <row r="23" spans="1:306" x14ac:dyDescent="0.25">
      <c r="A23" s="22"/>
      <c r="B23" s="23" t="s">
        <v>64</v>
      </c>
      <c r="C23" s="28">
        <f>((0.05+0.07+0.35+0.15)+(0.05+0.07+0.35+0.15-0.15))/2</f>
        <v>0.54499999999999993</v>
      </c>
      <c r="D23" s="36">
        <v>13.75</v>
      </c>
      <c r="E23" s="24">
        <f t="shared" si="1"/>
        <v>13.205</v>
      </c>
      <c r="F23" s="24">
        <f>EN23</f>
        <v>13.44409090909091</v>
      </c>
      <c r="G23" s="24">
        <f>E23-F23</f>
        <v>-0.23909090909091013</v>
      </c>
      <c r="H23" s="23">
        <f>23.24+66.46*0.15</f>
        <v>33.208999999999996</v>
      </c>
      <c r="I23" s="25">
        <f t="shared" si="7"/>
        <v>-7.9399700000000335</v>
      </c>
      <c r="Q23" s="35">
        <f>SUM(M3:Q22)/94</f>
        <v>14.260106382978728</v>
      </c>
      <c r="AH23" s="35">
        <f>SUM(T3:AH22)/290</f>
        <v>13.712793103448281</v>
      </c>
      <c r="AQ23" s="35">
        <f>SUM(AK3:AQ22)/125</f>
        <v>13.785600000000001</v>
      </c>
      <c r="BB23" s="35">
        <f>SUM(AT3:BB22)/179</f>
        <v>13.994245810055867</v>
      </c>
      <c r="BI23" s="35">
        <f>SUM(BE3:BI22)/88</f>
        <v>13.773295454545456</v>
      </c>
      <c r="BW23" s="35">
        <f>SUM(BL3:BW22)/229</f>
        <v>13.700131004366812</v>
      </c>
      <c r="CC23" s="35">
        <f>SUM(BZ3:CC22)/69</f>
        <v>13.58985507246377</v>
      </c>
      <c r="CH23" s="35">
        <f>SUM(CF3:CH22)/51</f>
        <v>13.705686274509809</v>
      </c>
      <c r="CO23" s="35">
        <f>SUM(CK3:CO22)/84</f>
        <v>13.901190476190479</v>
      </c>
      <c r="CT23" s="35">
        <f>SUM(CR3:CT22)/44</f>
        <v>14.112045454545461</v>
      </c>
      <c r="CW23" s="35">
        <f>SUM(CW3:CW22)/20</f>
        <v>13.500999999999999</v>
      </c>
      <c r="DB23" s="35">
        <f>SUM(CZ3:DB22)/60</f>
        <v>13.506666666666669</v>
      </c>
      <c r="DH23" s="35">
        <f>SUM(DE3:DH22)/78</f>
        <v>13.358974358974356</v>
      </c>
      <c r="DM23" s="35">
        <f>SUM(DK3:DM22)/58</f>
        <v>13.511034482758614</v>
      </c>
      <c r="DT23" s="35">
        <f>SUM(DP3:DT22)/92</f>
        <v>13.499565217391305</v>
      </c>
      <c r="DY23" s="35">
        <f>SUM(DW3:DY22)/53</f>
        <v>13.489056603773582</v>
      </c>
      <c r="EF23" s="35">
        <f>SUM(EB3:EF22)/88</f>
        <v>13.360681818181815</v>
      </c>
      <c r="EJ23" s="35">
        <f>SUM(EI3:EJ22)/39</f>
        <v>13.715128205128208</v>
      </c>
      <c r="EN23" s="35">
        <f>SUM(EM3:EN22)/22</f>
        <v>13.44409090909091</v>
      </c>
      <c r="EW23" s="35">
        <f>SUM(EW3:EW22)/18</f>
        <v>13.965555555555552</v>
      </c>
      <c r="EZ23" s="35">
        <f>SUM(EZ3:EZ22)/12</f>
        <v>13.948333333333336</v>
      </c>
      <c r="FC23" s="35">
        <f>SUM(FC3:FC22)/18</f>
        <v>13.68722222222222</v>
      </c>
      <c r="FG23" s="35">
        <f>SUM(FF3:FG22)/25</f>
        <v>13.835599999999998</v>
      </c>
      <c r="FK23" s="35">
        <f>SUM(FJ3:FK22)/33</f>
        <v>13.59939393939394</v>
      </c>
      <c r="FS23" s="35">
        <f>SUM(FN3:FS22)/105</f>
        <v>13.618476190476191</v>
      </c>
      <c r="GF23" s="35">
        <f>SUM(GD3:GF22)/49</f>
        <v>13.890408163265304</v>
      </c>
      <c r="GI23" s="35">
        <f>SUM(GI3:GI22)/9</f>
        <v>13.565555555555557</v>
      </c>
      <c r="GM23" s="35">
        <f>SUM(GL3:GM22)/36</f>
        <v>13.605555555555558</v>
      </c>
      <c r="GQ23" s="35">
        <f>SUM(GP3:GQ22)/24</f>
        <v>13.540833333333337</v>
      </c>
      <c r="GV23" s="35">
        <f>SUM(GT3:GV22)/58</f>
        <v>13.87793103448276</v>
      </c>
      <c r="HA23" s="35">
        <f>SUM(GY3:HA22)/53</f>
        <v>14.267358490566037</v>
      </c>
      <c r="HE23" s="35">
        <f>SUM(HD3:HE22)/40</f>
        <v>14.056500000000005</v>
      </c>
      <c r="HL23" s="35">
        <f>SUM(HH3:HL22)/97</f>
        <v>13.807525773195868</v>
      </c>
      <c r="HR23" s="35">
        <f>SUM(HO3:HR22)/71</f>
        <v>13.702957746478873</v>
      </c>
      <c r="HX23" s="35">
        <f>SUM(HU3:HX22)/80</f>
        <v>13.445750000000004</v>
      </c>
      <c r="IC23" s="35">
        <f>SUM(IA3:IC22)/50</f>
        <v>13.4626</v>
      </c>
      <c r="IG23" s="35">
        <f>SUM(IF3:IG22)/30</f>
        <v>13.877000000000001</v>
      </c>
      <c r="IM23" s="35">
        <f>SUM(IJ3:IM22)/62</f>
        <v>13.718387096774189</v>
      </c>
      <c r="IS23" s="35">
        <f>SUM(IP3:IS22)/73</f>
        <v>13.292054794520549</v>
      </c>
      <c r="IX23" s="35">
        <f>SUM(IV3:IX22)/42</f>
        <v>13.426190476190476</v>
      </c>
      <c r="JC23" s="35">
        <f>SUM(JA3:JC22)/49</f>
        <v>13.379387755102048</v>
      </c>
      <c r="JG23" s="35">
        <f>SUM(JF3:JG22)/32</f>
        <v>13.471875000000001</v>
      </c>
      <c r="JL23" s="35">
        <f>SUM(JJ3:JL22)/60</f>
        <v>13.717333333333336</v>
      </c>
      <c r="JQ23" s="35">
        <f>SUM(JO3:JQ22)/52</f>
        <v>13.86000000000001</v>
      </c>
      <c r="JV23" s="35">
        <f>SUM(JT3:JV22)/60</f>
        <v>13.910166666666672</v>
      </c>
      <c r="KD23" s="35">
        <f>SUM(KB3:KD22)/52</f>
        <v>13.638846153846155</v>
      </c>
      <c r="KL23" s="35">
        <f>SUM(KJ3:KL22)/55</f>
        <v>13.546727272727276</v>
      </c>
      <c r="KT23" s="35">
        <f>SUM(KO3:KT22)/103</f>
        <v>13.321650485436896</v>
      </c>
    </row>
    <row r="24" spans="1:306" x14ac:dyDescent="0.25">
      <c r="A24" s="22"/>
      <c r="B24" s="23" t="s">
        <v>64</v>
      </c>
      <c r="C24" s="28">
        <f>((0.05+0.07+0.35+0.15)+(0.05+0.07+0.35+0.15-0.15))/2</f>
        <v>0.54499999999999993</v>
      </c>
      <c r="D24" s="36">
        <v>13.75</v>
      </c>
      <c r="E24" s="24">
        <f t="shared" si="1"/>
        <v>13.205</v>
      </c>
      <c r="F24" s="24">
        <v>13.35</v>
      </c>
      <c r="G24" s="24">
        <f>E24-F24</f>
        <v>-0.14499999999999957</v>
      </c>
      <c r="H24" s="23">
        <f>6.21+0.15*17.4</f>
        <v>8.82</v>
      </c>
      <c r="I24" s="25">
        <f t="shared" si="7"/>
        <v>-1.2788999999999964</v>
      </c>
    </row>
    <row r="25" spans="1:306" ht="19.5" thickBot="1" x14ac:dyDescent="0.3">
      <c r="A25" s="22"/>
      <c r="B25" s="23"/>
      <c r="C25" s="28"/>
      <c r="D25" s="36"/>
      <c r="E25" s="24"/>
      <c r="F25" s="24"/>
      <c r="G25" s="24"/>
      <c r="H25" s="23"/>
      <c r="I25" s="25">
        <f t="shared" si="7"/>
        <v>0</v>
      </c>
      <c r="L25" s="58" t="s">
        <v>18</v>
      </c>
      <c r="M25" s="58"/>
      <c r="N25" s="58"/>
      <c r="O25" s="58"/>
      <c r="R25" s="58"/>
      <c r="S25" s="58"/>
      <c r="T25" s="58"/>
      <c r="U25" s="58"/>
      <c r="V25" s="58"/>
      <c r="W25" s="58"/>
      <c r="X25" s="58"/>
      <c r="Y25" s="58"/>
      <c r="Z25" s="58"/>
      <c r="AA25" s="58"/>
      <c r="AB25" s="58"/>
      <c r="AC25" s="58"/>
      <c r="AD25" s="58"/>
      <c r="AE25" s="58"/>
      <c r="AF25" s="58"/>
      <c r="AG25" s="58"/>
      <c r="AH25" s="58"/>
      <c r="AI25" s="58"/>
      <c r="AJ25" s="58"/>
      <c r="AK25" s="58"/>
      <c r="AL25" s="58"/>
      <c r="AM25" s="58"/>
      <c r="AN25" s="58"/>
      <c r="AO25" s="58"/>
      <c r="AP25" s="58"/>
      <c r="AQ25" s="58"/>
      <c r="AR25" s="58"/>
      <c r="AS25" s="58"/>
      <c r="AT25" s="58"/>
      <c r="AU25" s="58"/>
      <c r="AV25" s="58"/>
      <c r="AW25" s="58"/>
      <c r="AX25" s="58"/>
      <c r="AY25" s="58"/>
      <c r="AZ25" s="58"/>
      <c r="BA25" s="58"/>
      <c r="BB25" s="58"/>
      <c r="BC25" s="58"/>
      <c r="BD25" s="58"/>
      <c r="BE25" s="58"/>
      <c r="BF25" s="58"/>
      <c r="BG25" s="58"/>
      <c r="BH25" s="58"/>
      <c r="BI25" s="58"/>
      <c r="BJ25" s="58"/>
      <c r="BK25" s="58"/>
      <c r="BL25" s="58"/>
      <c r="BM25" s="58"/>
      <c r="BN25" s="58"/>
      <c r="BO25" s="58"/>
      <c r="BP25" s="58"/>
      <c r="BQ25" s="58"/>
      <c r="BR25" s="58"/>
      <c r="BS25" s="58"/>
      <c r="BT25" s="58"/>
      <c r="BU25" s="58"/>
      <c r="BV25" s="58"/>
      <c r="BW25" s="58"/>
      <c r="BX25" s="58"/>
      <c r="BY25" s="58"/>
      <c r="BZ25" s="58"/>
      <c r="CA25" s="58"/>
      <c r="CB25" s="58"/>
      <c r="CC25" s="58"/>
      <c r="CD25" s="58"/>
      <c r="CE25" s="58"/>
      <c r="CF25" s="58"/>
      <c r="CG25" s="58"/>
      <c r="CH25" s="58"/>
      <c r="CI25" s="58"/>
      <c r="CJ25" s="58"/>
      <c r="CK25" s="58"/>
      <c r="CL25" s="58"/>
      <c r="CM25" s="58"/>
      <c r="CN25" s="58"/>
      <c r="CO25" s="58"/>
      <c r="CP25" s="58"/>
      <c r="CQ25" s="58"/>
      <c r="CR25" s="58"/>
      <c r="CS25" s="58"/>
      <c r="CT25" s="58"/>
      <c r="CU25" s="58"/>
      <c r="CV25" s="58"/>
      <c r="CW25" s="58"/>
      <c r="CX25" s="58"/>
      <c r="CY25" s="58"/>
      <c r="CZ25" s="58"/>
      <c r="DA25" s="58"/>
      <c r="DB25" s="58"/>
      <c r="DC25" s="58"/>
      <c r="DD25" s="58"/>
      <c r="DE25" s="58"/>
      <c r="DF25" s="58"/>
      <c r="DG25" s="58"/>
      <c r="DH25" s="58"/>
      <c r="DI25" s="58"/>
      <c r="DJ25" s="58"/>
      <c r="DK25" s="58"/>
      <c r="DL25" s="58"/>
      <c r="DM25" s="58"/>
      <c r="DN25" s="58"/>
      <c r="DO25" s="58"/>
      <c r="DP25" s="58"/>
      <c r="DQ25" s="58"/>
      <c r="DR25" s="58"/>
      <c r="DS25" s="58"/>
      <c r="DT25" s="58"/>
      <c r="DU25" s="58"/>
      <c r="DV25" s="58"/>
      <c r="DW25" s="58"/>
      <c r="DX25" s="58"/>
      <c r="DY25" s="58"/>
      <c r="DZ25" s="58"/>
      <c r="EA25" s="58"/>
      <c r="EB25" s="58"/>
      <c r="EC25" s="58"/>
      <c r="ED25" s="58"/>
      <c r="EE25" s="58"/>
      <c r="EF25" s="58"/>
      <c r="EG25" s="58"/>
      <c r="EJ25" s="58"/>
      <c r="EK25" s="58"/>
      <c r="EL25" s="58"/>
      <c r="EM25" s="58"/>
      <c r="EN25" s="58"/>
      <c r="EO25" s="58"/>
      <c r="EP25" s="58"/>
      <c r="EQ25" s="58"/>
      <c r="ER25" s="58"/>
      <c r="ES25" s="58"/>
      <c r="ET25" s="58"/>
      <c r="EU25" s="58"/>
      <c r="EV25" s="58"/>
      <c r="EW25" s="58"/>
      <c r="EX25" s="58"/>
      <c r="EY25" s="58"/>
      <c r="EZ25" s="58"/>
      <c r="FA25" s="58"/>
      <c r="FB25" s="58"/>
      <c r="FC25" s="58"/>
      <c r="FD25" s="58"/>
      <c r="FE25" s="58"/>
      <c r="FF25" s="58"/>
      <c r="FG25" s="58"/>
      <c r="FH25" s="58"/>
      <c r="FI25" s="58"/>
      <c r="FJ25" s="58"/>
      <c r="FK25" s="58"/>
      <c r="FL25" s="58"/>
      <c r="FM25" s="58"/>
      <c r="FN25" s="58"/>
      <c r="FO25" s="58"/>
      <c r="FP25" s="58"/>
      <c r="FQ25" s="58"/>
      <c r="FR25" s="58"/>
      <c r="FS25" s="58"/>
      <c r="FT25" s="58"/>
      <c r="FU25" s="58"/>
      <c r="FV25" s="58"/>
      <c r="FW25" s="58"/>
      <c r="FX25" s="58"/>
      <c r="FY25" s="58"/>
      <c r="FZ25" s="58"/>
      <c r="GA25" s="58"/>
      <c r="GB25" s="58"/>
      <c r="GC25" s="58"/>
      <c r="GD25" s="58"/>
      <c r="GE25" s="58"/>
      <c r="GF25" s="58"/>
      <c r="GG25" s="58"/>
      <c r="GH25" s="58"/>
      <c r="GI25" s="58"/>
      <c r="GJ25" s="58"/>
      <c r="GK25" s="58"/>
      <c r="GL25" s="58"/>
      <c r="GM25" s="58"/>
      <c r="GN25" s="58"/>
      <c r="GO25" s="58"/>
      <c r="GP25" s="58"/>
      <c r="GQ25" s="58"/>
      <c r="GR25" s="58"/>
      <c r="GS25" s="58"/>
      <c r="GT25" s="58"/>
      <c r="GU25" s="58"/>
      <c r="GV25" s="58"/>
      <c r="GW25" s="58"/>
      <c r="GX25" s="58"/>
      <c r="GY25" s="58"/>
      <c r="GZ25" s="58"/>
      <c r="HA25" s="58"/>
      <c r="HB25" s="58"/>
      <c r="HC25" s="58"/>
      <c r="HD25" s="58"/>
      <c r="HE25" s="58"/>
      <c r="HF25" s="58"/>
      <c r="HG25" s="58"/>
      <c r="HH25" s="58"/>
      <c r="HI25" s="58"/>
      <c r="HJ25" s="58"/>
      <c r="HK25" s="58"/>
      <c r="HL25" s="58"/>
      <c r="HM25" s="58"/>
      <c r="HN25" s="58"/>
    </row>
    <row r="26" spans="1:306" x14ac:dyDescent="0.25">
      <c r="A26" s="22" t="s">
        <v>23</v>
      </c>
      <c r="B26" s="23" t="s">
        <v>69</v>
      </c>
      <c r="C26" s="28">
        <f>0.1+0.3+0.3</f>
        <v>0.7</v>
      </c>
      <c r="D26" s="36">
        <f>EQ47</f>
        <v>13.765384615384615</v>
      </c>
      <c r="E26" s="24">
        <f t="shared" si="1"/>
        <v>13.065384615384616</v>
      </c>
      <c r="F26" s="36">
        <f>(13.3+13.45)/2</f>
        <v>13.375</v>
      </c>
      <c r="G26" s="24">
        <f>E26-F26</f>
        <v>-0.30961538461538396</v>
      </c>
      <c r="H26" s="23">
        <v>336.6</v>
      </c>
      <c r="I26" s="25">
        <f t="shared" si="7"/>
        <v>-104.21653846153825</v>
      </c>
      <c r="L26" s="37" t="s">
        <v>21</v>
      </c>
      <c r="M26" s="39"/>
      <c r="S26" s="37" t="s">
        <v>21</v>
      </c>
      <c r="T26" s="38"/>
      <c r="U26" s="38"/>
      <c r="V26" s="39"/>
      <c r="AJ26" s="37" t="s">
        <v>21</v>
      </c>
      <c r="AK26" s="38"/>
      <c r="AL26" s="39"/>
      <c r="AS26" s="37" t="s">
        <v>21</v>
      </c>
      <c r="AT26" s="38"/>
      <c r="AU26" s="39"/>
      <c r="BD26" s="37" t="s">
        <v>21</v>
      </c>
      <c r="BE26" s="39"/>
      <c r="BK26" s="37" t="s">
        <v>21</v>
      </c>
      <c r="BL26" s="38"/>
      <c r="BM26" s="39"/>
      <c r="BY26" s="37" t="s">
        <v>21</v>
      </c>
      <c r="BZ26" s="39"/>
      <c r="CE26" s="37" t="s">
        <v>21</v>
      </c>
      <c r="CF26" s="39"/>
      <c r="CJ26" s="37" t="s">
        <v>22</v>
      </c>
      <c r="CK26" s="38"/>
      <c r="CL26" s="39"/>
      <c r="CQ26" s="37" t="s">
        <v>22</v>
      </c>
      <c r="CR26" s="39"/>
      <c r="CV26" s="37" t="s">
        <v>22</v>
      </c>
      <c r="CW26" s="39"/>
      <c r="CY26" s="37" t="s">
        <v>22</v>
      </c>
      <c r="CZ26" s="39"/>
      <c r="DD26" s="37" t="s">
        <v>22</v>
      </c>
      <c r="DE26" s="38"/>
      <c r="DF26" s="39"/>
      <c r="DJ26" s="37" t="s">
        <v>22</v>
      </c>
      <c r="DK26" s="39"/>
      <c r="DO26" s="37" t="s">
        <v>22</v>
      </c>
      <c r="DP26" s="38"/>
      <c r="DQ26" s="39"/>
      <c r="DV26" s="37" t="s">
        <v>22</v>
      </c>
      <c r="DW26" s="39"/>
      <c r="EA26" s="37" t="s">
        <v>22</v>
      </c>
      <c r="EB26" s="38"/>
      <c r="EC26" s="39"/>
      <c r="EP26" s="37" t="s">
        <v>23</v>
      </c>
      <c r="EQ26" s="39"/>
      <c r="ES26" s="37" t="s">
        <v>23</v>
      </c>
      <c r="ET26" s="39"/>
      <c r="FM26" s="37" t="s">
        <v>20</v>
      </c>
      <c r="FN26" s="39"/>
      <c r="FU26" s="37" t="s">
        <v>26</v>
      </c>
      <c r="FV26" s="38"/>
      <c r="FW26" s="39"/>
      <c r="FY26" s="37" t="s">
        <v>26</v>
      </c>
      <c r="FZ26" s="38"/>
      <c r="GA26" s="39"/>
      <c r="GC26" s="37" t="s">
        <v>27</v>
      </c>
      <c r="GD26" s="39"/>
      <c r="GH26" s="37" t="s">
        <v>27</v>
      </c>
      <c r="GI26" s="39"/>
      <c r="GK26" s="37" t="s">
        <v>27</v>
      </c>
      <c r="GL26" s="39"/>
      <c r="GO26" s="37" t="s">
        <v>27</v>
      </c>
      <c r="GP26" s="39"/>
      <c r="GS26" s="37" t="s">
        <v>8</v>
      </c>
      <c r="GT26" s="39"/>
      <c r="GX26" s="37" t="s">
        <v>8</v>
      </c>
      <c r="GY26" s="39"/>
      <c r="HC26" s="37" t="s">
        <v>8</v>
      </c>
      <c r="HD26" s="39"/>
      <c r="HG26" s="37" t="s">
        <v>8</v>
      </c>
      <c r="HH26" s="39"/>
      <c r="HN26" s="37" t="s">
        <v>8</v>
      </c>
      <c r="HO26" s="39"/>
      <c r="HT26" s="37" t="s">
        <v>8</v>
      </c>
      <c r="HU26" s="39"/>
      <c r="HZ26" s="37" t="s">
        <v>8</v>
      </c>
      <c r="IA26" s="39"/>
      <c r="IE26" s="37" t="s">
        <v>8</v>
      </c>
      <c r="IF26" s="39"/>
      <c r="II26" s="37" t="s">
        <v>8</v>
      </c>
      <c r="IJ26" s="39"/>
      <c r="IO26" s="37" t="s">
        <v>8</v>
      </c>
      <c r="IP26" s="39"/>
      <c r="IU26" s="37" t="s">
        <v>8</v>
      </c>
      <c r="IV26" s="39"/>
      <c r="JI26" s="37" t="s">
        <v>8</v>
      </c>
      <c r="JJ26" s="39"/>
      <c r="JN26" s="37" t="s">
        <v>8</v>
      </c>
      <c r="JO26" s="39"/>
      <c r="JS26" s="37" t="s">
        <v>78</v>
      </c>
      <c r="JT26" s="39"/>
      <c r="JX26" s="37" t="s">
        <v>78</v>
      </c>
      <c r="JY26" s="39"/>
      <c r="KA26" s="37" t="s">
        <v>78</v>
      </c>
      <c r="KB26" s="39"/>
      <c r="KF26" s="37" t="s">
        <v>78</v>
      </c>
      <c r="KG26" s="39"/>
    </row>
    <row r="27" spans="1:306" x14ac:dyDescent="0.25">
      <c r="A27" s="22"/>
      <c r="B27" s="23" t="s">
        <v>69</v>
      </c>
      <c r="C27" s="28">
        <f>0.1+0.3+0.3</f>
        <v>0.7</v>
      </c>
      <c r="D27" s="36">
        <f>ET47</f>
        <v>13.6625</v>
      </c>
      <c r="E27" s="24">
        <f t="shared" si="1"/>
        <v>12.9625</v>
      </c>
      <c r="F27" s="24">
        <v>13.35</v>
      </c>
      <c r="G27" s="24">
        <f>E27-F27</f>
        <v>-0.38749999999999929</v>
      </c>
      <c r="H27" s="23">
        <v>339.64</v>
      </c>
      <c r="I27" s="25">
        <f t="shared" si="7"/>
        <v>-131.61049999999975</v>
      </c>
      <c r="L27" s="40"/>
      <c r="M27" s="42">
        <v>13.6</v>
      </c>
      <c r="S27" s="40"/>
      <c r="T27" s="41">
        <v>13.46</v>
      </c>
      <c r="U27" s="41">
        <v>13.37</v>
      </c>
      <c r="V27" s="42">
        <v>13.47</v>
      </c>
      <c r="AJ27" s="40"/>
      <c r="AK27" s="41">
        <v>13.63</v>
      </c>
      <c r="AL27" s="42">
        <v>13.6</v>
      </c>
      <c r="AS27" s="40"/>
      <c r="AT27" s="41">
        <v>13.65</v>
      </c>
      <c r="AU27" s="42">
        <v>13.65</v>
      </c>
      <c r="BD27" s="40"/>
      <c r="BE27" s="42">
        <v>13.52</v>
      </c>
      <c r="BK27" s="40"/>
      <c r="BL27" s="41">
        <v>13.57</v>
      </c>
      <c r="BM27" s="42">
        <v>13.52</v>
      </c>
      <c r="BY27" s="40"/>
      <c r="BZ27" s="42">
        <v>13.47</v>
      </c>
      <c r="CE27" s="40"/>
      <c r="CF27" s="42">
        <v>13.43</v>
      </c>
      <c r="CJ27" s="40"/>
      <c r="CK27" s="41">
        <v>13.85</v>
      </c>
      <c r="CL27" s="42">
        <v>13.85</v>
      </c>
      <c r="CQ27" s="40"/>
      <c r="CR27" s="42">
        <v>13.85</v>
      </c>
      <c r="CV27" s="40"/>
      <c r="CW27" s="42">
        <v>13.85</v>
      </c>
      <c r="CY27" s="40"/>
      <c r="CZ27" s="42">
        <v>13.65</v>
      </c>
      <c r="DD27" s="40"/>
      <c r="DE27" s="41">
        <v>13.7</v>
      </c>
      <c r="DF27" s="42">
        <v>13.67</v>
      </c>
      <c r="DJ27" s="40"/>
      <c r="DK27" s="42">
        <v>13.7</v>
      </c>
      <c r="DO27" s="40"/>
      <c r="DP27" s="41">
        <v>13.67</v>
      </c>
      <c r="DQ27" s="42">
        <v>13.7</v>
      </c>
      <c r="DV27" s="40"/>
      <c r="DW27" s="42">
        <v>13.7</v>
      </c>
      <c r="EA27" s="40"/>
      <c r="EB27" s="41">
        <v>13.7</v>
      </c>
      <c r="EC27" s="42">
        <v>13.67</v>
      </c>
      <c r="EP27" s="40"/>
      <c r="EQ27" s="42">
        <v>13.72</v>
      </c>
      <c r="ES27" s="40"/>
      <c r="ET27" s="42">
        <v>13.62</v>
      </c>
      <c r="FM27" s="40"/>
      <c r="FN27" s="42">
        <v>13.76</v>
      </c>
      <c r="FU27" s="40"/>
      <c r="FV27" s="41">
        <v>13.85</v>
      </c>
      <c r="FW27" s="42">
        <v>13.72</v>
      </c>
      <c r="FY27" s="40"/>
      <c r="FZ27" s="41">
        <v>13.75</v>
      </c>
      <c r="GA27" s="42">
        <v>13.75</v>
      </c>
      <c r="GC27" s="40"/>
      <c r="GD27" s="42">
        <v>13.75</v>
      </c>
      <c r="GH27" s="40"/>
      <c r="GI27" s="42">
        <v>13.75</v>
      </c>
      <c r="GK27" s="40"/>
      <c r="GL27" s="42">
        <v>13.66</v>
      </c>
      <c r="GO27" s="40"/>
      <c r="GP27" s="42">
        <v>13.65</v>
      </c>
      <c r="GS27" s="40"/>
      <c r="GT27" s="42">
        <v>13.78</v>
      </c>
      <c r="GX27" s="40"/>
      <c r="GY27" s="42">
        <f>13.62+0.15</f>
        <v>13.77</v>
      </c>
      <c r="HC27" s="40"/>
      <c r="HD27" s="42">
        <v>13.78</v>
      </c>
      <c r="HG27" s="40"/>
      <c r="HH27" s="42">
        <v>13.73</v>
      </c>
      <c r="HN27" s="40"/>
      <c r="HO27" s="42">
        <v>13.62</v>
      </c>
      <c r="HT27" s="40"/>
      <c r="HU27" s="42">
        <v>13.78</v>
      </c>
      <c r="HZ27" s="40"/>
      <c r="IA27" s="42">
        <v>13.78</v>
      </c>
      <c r="IE27" s="40"/>
      <c r="IF27" s="42">
        <v>13.85</v>
      </c>
      <c r="II27" s="40"/>
      <c r="IJ27" s="42">
        <v>13.6</v>
      </c>
      <c r="IO27" s="40"/>
      <c r="IP27" s="42">
        <v>13.7</v>
      </c>
      <c r="IU27" s="40"/>
      <c r="IV27" s="42">
        <v>13.7</v>
      </c>
      <c r="JI27" s="40"/>
      <c r="JJ27" s="42">
        <f>13.48+0.15</f>
        <v>13.63</v>
      </c>
      <c r="JN27" s="40"/>
      <c r="JO27" s="42">
        <f>13.57</f>
        <v>13.57</v>
      </c>
      <c r="JS27" s="40"/>
      <c r="JT27" s="42">
        <v>13.8</v>
      </c>
      <c r="JX27" s="40"/>
      <c r="JY27" s="42">
        <v>13.8</v>
      </c>
      <c r="KA27" s="40"/>
      <c r="KB27" s="42">
        <v>13.59</v>
      </c>
      <c r="KF27" s="40"/>
      <c r="KG27" s="42">
        <v>13.7</v>
      </c>
    </row>
    <row r="28" spans="1:306" x14ac:dyDescent="0.25">
      <c r="A28" s="22"/>
      <c r="B28" s="23"/>
      <c r="C28" s="28"/>
      <c r="D28" s="36"/>
      <c r="E28" s="24"/>
      <c r="F28" s="24"/>
      <c r="G28" s="24"/>
      <c r="H28" s="23"/>
      <c r="I28" s="25">
        <f t="shared" si="7"/>
        <v>0</v>
      </c>
      <c r="L28" s="40"/>
      <c r="M28" s="42">
        <v>13.65</v>
      </c>
      <c r="S28" s="40"/>
      <c r="T28" s="41">
        <v>13.56</v>
      </c>
      <c r="U28" s="41">
        <v>13.52</v>
      </c>
      <c r="V28" s="42">
        <v>13.46</v>
      </c>
      <c r="AJ28" s="40"/>
      <c r="AK28" s="41">
        <v>13.55</v>
      </c>
      <c r="AL28" s="42">
        <v>13.6</v>
      </c>
      <c r="AS28" s="40"/>
      <c r="AT28" s="41">
        <v>13.6</v>
      </c>
      <c r="AU28" s="42">
        <v>13.62</v>
      </c>
      <c r="BD28" s="40"/>
      <c r="BE28" s="42">
        <v>13.65</v>
      </c>
      <c r="BK28" s="40"/>
      <c r="BL28" s="41">
        <v>13.52</v>
      </c>
      <c r="BM28" s="42">
        <v>13.47</v>
      </c>
      <c r="BY28" s="40"/>
      <c r="BZ28" s="42">
        <v>13.52</v>
      </c>
      <c r="CE28" s="40"/>
      <c r="CF28" s="42">
        <v>13.48</v>
      </c>
      <c r="CJ28" s="40"/>
      <c r="CK28" s="41">
        <v>13.75</v>
      </c>
      <c r="CL28" s="42">
        <v>13.78</v>
      </c>
      <c r="CQ28" s="40"/>
      <c r="CR28" s="42">
        <v>13.75</v>
      </c>
      <c r="CV28" s="40"/>
      <c r="CW28" s="42">
        <v>13.8</v>
      </c>
      <c r="CY28" s="40"/>
      <c r="CZ28" s="42">
        <v>13.65</v>
      </c>
      <c r="DD28" s="40"/>
      <c r="DE28" s="41">
        <v>13.67</v>
      </c>
      <c r="DF28" s="42">
        <v>13.75</v>
      </c>
      <c r="DJ28" s="40"/>
      <c r="DK28" s="42">
        <v>13.67</v>
      </c>
      <c r="DO28" s="40"/>
      <c r="DP28" s="41">
        <v>13.7</v>
      </c>
      <c r="DQ28" s="42">
        <v>13.67</v>
      </c>
      <c r="DV28" s="40"/>
      <c r="DW28" s="42">
        <v>13.67</v>
      </c>
      <c r="EA28" s="40"/>
      <c r="EB28" s="41">
        <v>13.67</v>
      </c>
      <c r="EC28" s="42">
        <v>13.75</v>
      </c>
      <c r="EP28" s="40"/>
      <c r="EQ28" s="42">
        <v>13.76</v>
      </c>
      <c r="ES28" s="40"/>
      <c r="ET28" s="42">
        <v>13.67</v>
      </c>
      <c r="FM28" s="40"/>
      <c r="FN28" s="42">
        <v>13.71</v>
      </c>
      <c r="FU28" s="40"/>
      <c r="FV28" s="41">
        <v>13.75</v>
      </c>
      <c r="FW28" s="42">
        <v>13.85</v>
      </c>
      <c r="FY28" s="40"/>
      <c r="FZ28" s="41">
        <v>13.66</v>
      </c>
      <c r="GA28" s="42">
        <v>13.61</v>
      </c>
      <c r="GC28" s="40"/>
      <c r="GD28" s="42">
        <v>13.65</v>
      </c>
      <c r="GH28" s="40"/>
      <c r="GI28" s="42">
        <v>13.65</v>
      </c>
      <c r="GK28" s="40"/>
      <c r="GL28" s="42">
        <v>13.54</v>
      </c>
      <c r="GO28" s="40"/>
      <c r="GP28" s="42">
        <v>13.54</v>
      </c>
      <c r="GS28" s="40"/>
      <c r="GT28" s="42">
        <v>13.78</v>
      </c>
      <c r="GX28" s="40"/>
      <c r="GY28" s="42">
        <v>13.78</v>
      </c>
      <c r="HC28" s="40"/>
      <c r="HD28" s="42">
        <v>13.78</v>
      </c>
      <c r="HG28" s="40"/>
      <c r="HH28" s="42">
        <v>13.61</v>
      </c>
      <c r="HN28" s="40"/>
      <c r="HO28" s="42">
        <v>13.67</v>
      </c>
      <c r="HT28" s="40"/>
      <c r="HU28" s="42">
        <v>13.8</v>
      </c>
      <c r="HZ28" s="40"/>
      <c r="IA28" s="42">
        <v>13.78</v>
      </c>
      <c r="IE28" s="40"/>
      <c r="IF28" s="42">
        <v>13.7</v>
      </c>
      <c r="II28" s="40"/>
      <c r="IJ28" s="42">
        <v>13.75</v>
      </c>
      <c r="IO28" s="40"/>
      <c r="IP28" s="42">
        <v>13.7</v>
      </c>
      <c r="IU28" s="40"/>
      <c r="IV28" s="42">
        <v>13.7</v>
      </c>
      <c r="JI28" s="40"/>
      <c r="JJ28" s="42">
        <v>13.66</v>
      </c>
      <c r="JN28" s="40"/>
      <c r="JO28" s="42">
        <f>13.47+0.15</f>
        <v>13.620000000000001</v>
      </c>
      <c r="JS28" s="40"/>
      <c r="JT28" s="42">
        <v>13.85</v>
      </c>
      <c r="JX28" s="40"/>
      <c r="JY28" s="42">
        <v>13.8</v>
      </c>
      <c r="KA28" s="40"/>
      <c r="KB28" s="42">
        <v>13.6</v>
      </c>
      <c r="KF28" s="40"/>
      <c r="KG28" s="42">
        <v>13.7</v>
      </c>
    </row>
    <row r="29" spans="1:306" x14ac:dyDescent="0.25">
      <c r="A29" s="22" t="s">
        <v>24</v>
      </c>
      <c r="B29" s="23" t="s">
        <v>68</v>
      </c>
      <c r="C29" s="78">
        <f t="shared" ref="C29:C40" si="8">0.05+0.15+0.2</f>
        <v>0.4</v>
      </c>
      <c r="D29" s="36">
        <f>(13.77+13.85)/2</f>
        <v>13.809999999999999</v>
      </c>
      <c r="E29" s="24">
        <f t="shared" si="1"/>
        <v>13.409999999999998</v>
      </c>
      <c r="F29" s="24">
        <f>EW23</f>
        <v>13.965555555555552</v>
      </c>
      <c r="G29" s="24">
        <f t="shared" ref="G29:G40" si="9">E29-F29</f>
        <v>-0.55555555555555358</v>
      </c>
      <c r="H29" s="23">
        <v>250.02</v>
      </c>
      <c r="I29" s="25">
        <f t="shared" si="7"/>
        <v>-138.89999999999952</v>
      </c>
      <c r="L29" s="40"/>
      <c r="M29" s="42">
        <v>13.6</v>
      </c>
      <c r="S29" s="40"/>
      <c r="T29" s="41">
        <v>13.58</v>
      </c>
      <c r="U29" s="41">
        <v>13.42</v>
      </c>
      <c r="V29" s="42">
        <v>13.42</v>
      </c>
      <c r="AJ29" s="40"/>
      <c r="AK29" s="41">
        <v>13.6</v>
      </c>
      <c r="AL29" s="42">
        <v>13.65</v>
      </c>
      <c r="AS29" s="40"/>
      <c r="AT29" s="41">
        <v>13.65</v>
      </c>
      <c r="AU29" s="42">
        <v>13.5</v>
      </c>
      <c r="BD29" s="40"/>
      <c r="BE29" s="42">
        <v>13.42</v>
      </c>
      <c r="BK29" s="40"/>
      <c r="BL29" s="41">
        <v>13.63</v>
      </c>
      <c r="BM29" s="42">
        <v>13.52</v>
      </c>
      <c r="BY29" s="40"/>
      <c r="BZ29" s="42">
        <v>13.43</v>
      </c>
      <c r="CE29" s="40"/>
      <c r="CF29" s="42">
        <v>13.6</v>
      </c>
      <c r="CJ29" s="40"/>
      <c r="CK29" s="41">
        <v>13.78</v>
      </c>
      <c r="CL29" s="42">
        <v>13.75</v>
      </c>
      <c r="CQ29" s="40"/>
      <c r="CR29" s="42">
        <v>13.78</v>
      </c>
      <c r="CV29" s="40"/>
      <c r="CW29" s="42">
        <v>13.85</v>
      </c>
      <c r="CY29" s="40"/>
      <c r="CZ29" s="42">
        <v>13.75</v>
      </c>
      <c r="DD29" s="40"/>
      <c r="DE29" s="41">
        <v>13.75</v>
      </c>
      <c r="DF29" s="42">
        <v>13.7</v>
      </c>
      <c r="DJ29" s="40"/>
      <c r="DK29" s="42">
        <v>13.75</v>
      </c>
      <c r="DO29" s="40"/>
      <c r="DP29" s="41">
        <v>13.75</v>
      </c>
      <c r="DQ29" s="42">
        <v>13.75</v>
      </c>
      <c r="DV29" s="40"/>
      <c r="DW29" s="42">
        <v>13.7</v>
      </c>
      <c r="EA29" s="40"/>
      <c r="EB29" s="41">
        <v>13.75</v>
      </c>
      <c r="EC29" s="42">
        <v>13.7</v>
      </c>
      <c r="EP29" s="40"/>
      <c r="EQ29" s="42">
        <v>13.85</v>
      </c>
      <c r="ES29" s="40"/>
      <c r="ET29" s="42">
        <v>13.75</v>
      </c>
      <c r="FM29" s="40"/>
      <c r="FN29" s="42">
        <v>13.78</v>
      </c>
      <c r="FU29" s="40"/>
      <c r="FV29" s="41">
        <v>13.85</v>
      </c>
      <c r="FW29" s="42">
        <v>13.75</v>
      </c>
      <c r="FY29" s="40"/>
      <c r="FZ29" s="41">
        <v>13.75</v>
      </c>
      <c r="GA29" s="42">
        <v>13.75</v>
      </c>
      <c r="GC29" s="40"/>
      <c r="GD29" s="42">
        <v>13.87</v>
      </c>
      <c r="GH29" s="40"/>
      <c r="GI29" s="42">
        <v>13.75</v>
      </c>
      <c r="GK29" s="40"/>
      <c r="GL29" s="42">
        <v>13.77</v>
      </c>
      <c r="GO29" s="40"/>
      <c r="GP29" s="42">
        <v>13.64</v>
      </c>
      <c r="GS29" s="40"/>
      <c r="GT29" s="42">
        <v>13.78</v>
      </c>
      <c r="GX29" s="40"/>
      <c r="GY29" s="42">
        <v>13.7</v>
      </c>
      <c r="HC29" s="40"/>
      <c r="HD29" s="42">
        <v>13.78</v>
      </c>
      <c r="HG29" s="40"/>
      <c r="HH29" s="42">
        <v>13.75</v>
      </c>
      <c r="HN29" s="40"/>
      <c r="HO29" s="42">
        <v>13.75</v>
      </c>
      <c r="HT29" s="40"/>
      <c r="HU29" s="42">
        <v>13.8</v>
      </c>
      <c r="HZ29" s="40"/>
      <c r="IA29" s="42">
        <v>13.78</v>
      </c>
      <c r="IE29" s="40"/>
      <c r="IF29" s="42">
        <v>13.62</v>
      </c>
      <c r="II29" s="40"/>
      <c r="IJ29" s="42">
        <v>13.65</v>
      </c>
      <c r="IO29" s="40"/>
      <c r="IP29" s="42">
        <v>13.7</v>
      </c>
      <c r="IU29" s="40"/>
      <c r="IV29" s="42">
        <v>13.7</v>
      </c>
      <c r="JI29" s="40"/>
      <c r="JJ29" s="42">
        <v>13.66</v>
      </c>
      <c r="JN29" s="40"/>
      <c r="JO29" s="42">
        <v>13.67</v>
      </c>
      <c r="JS29" s="40"/>
      <c r="JT29" s="42">
        <v>13.7</v>
      </c>
      <c r="JX29" s="40"/>
      <c r="JY29" s="42">
        <v>13.7</v>
      </c>
      <c r="KA29" s="40"/>
      <c r="KB29" s="42">
        <v>13.76</v>
      </c>
      <c r="KF29" s="40"/>
      <c r="KG29" s="42">
        <v>13.67</v>
      </c>
    </row>
    <row r="30" spans="1:306" x14ac:dyDescent="0.25">
      <c r="A30" s="22"/>
      <c r="B30" s="23" t="s">
        <v>68</v>
      </c>
      <c r="C30" s="78">
        <f t="shared" si="8"/>
        <v>0.4</v>
      </c>
      <c r="D30" s="36">
        <v>13.78</v>
      </c>
      <c r="E30" s="24">
        <f t="shared" si="1"/>
        <v>13.379999999999999</v>
      </c>
      <c r="F30" s="24">
        <f>(13.9+13.87+13.87)/3</f>
        <v>13.88</v>
      </c>
      <c r="G30" s="24">
        <f t="shared" si="9"/>
        <v>-0.50000000000000178</v>
      </c>
      <c r="H30" s="23">
        <f>34.3</f>
        <v>34.299999999999997</v>
      </c>
      <c r="I30" s="25">
        <f t="shared" si="7"/>
        <v>-17.150000000000059</v>
      </c>
      <c r="L30" s="40"/>
      <c r="M30" s="42">
        <v>13.5</v>
      </c>
      <c r="S30" s="40"/>
      <c r="T30" s="41">
        <v>13.5</v>
      </c>
      <c r="U30" s="41">
        <v>13.52</v>
      </c>
      <c r="V30" s="42">
        <v>13.37</v>
      </c>
      <c r="AJ30" s="40"/>
      <c r="AK30" s="41">
        <v>13.6</v>
      </c>
      <c r="AL30" s="42">
        <v>13.65</v>
      </c>
      <c r="AS30" s="40"/>
      <c r="AT30" s="41">
        <v>13.62</v>
      </c>
      <c r="AU30" s="42">
        <v>13.6</v>
      </c>
      <c r="BD30" s="40"/>
      <c r="BE30" s="42">
        <v>13.52</v>
      </c>
      <c r="BK30" s="40"/>
      <c r="BL30" s="41">
        <v>13.57</v>
      </c>
      <c r="BM30" s="42">
        <v>13.5</v>
      </c>
      <c r="BY30" s="40"/>
      <c r="BZ30" s="42">
        <v>13.39</v>
      </c>
      <c r="CE30" s="40"/>
      <c r="CF30" s="42">
        <v>13.55</v>
      </c>
      <c r="CJ30" s="40"/>
      <c r="CK30" s="41">
        <v>13.85</v>
      </c>
      <c r="CL30" s="42">
        <v>13.85</v>
      </c>
      <c r="CQ30" s="40"/>
      <c r="CR30" s="42">
        <v>13.75</v>
      </c>
      <c r="CV30" s="40"/>
      <c r="CW30" s="42">
        <v>13.8</v>
      </c>
      <c r="CY30" s="40"/>
      <c r="CZ30" s="42">
        <v>13.78</v>
      </c>
      <c r="DD30" s="40"/>
      <c r="DE30" s="41">
        <v>13.7</v>
      </c>
      <c r="DF30" s="42">
        <v>13.67</v>
      </c>
      <c r="DJ30" s="40"/>
      <c r="DK30" s="42">
        <v>13.67</v>
      </c>
      <c r="DO30" s="40"/>
      <c r="DP30" s="41">
        <v>13.67</v>
      </c>
      <c r="DQ30" s="42">
        <v>13.7</v>
      </c>
      <c r="DV30" s="40"/>
      <c r="DW30" s="42">
        <v>13.75</v>
      </c>
      <c r="EA30" s="40"/>
      <c r="EB30" s="41">
        <v>13.7</v>
      </c>
      <c r="EC30" s="42">
        <v>13.67</v>
      </c>
      <c r="EP30" s="40"/>
      <c r="EQ30" s="42">
        <v>13.78</v>
      </c>
      <c r="ES30" s="40"/>
      <c r="ET30" s="42">
        <v>13.67</v>
      </c>
      <c r="FM30" s="40"/>
      <c r="FN30" s="42">
        <v>13.73</v>
      </c>
      <c r="FU30" s="40"/>
      <c r="FV30" s="41">
        <v>13.72</v>
      </c>
      <c r="FW30" s="42"/>
      <c r="FY30" s="40"/>
      <c r="FZ30" s="41">
        <v>13.61</v>
      </c>
      <c r="GA30" s="42">
        <v>13.66</v>
      </c>
      <c r="GC30" s="40"/>
      <c r="GD30" s="42">
        <v>13.65</v>
      </c>
      <c r="GH30" s="40"/>
      <c r="GI30" s="42">
        <v>13.7</v>
      </c>
      <c r="GK30" s="40"/>
      <c r="GL30" s="42">
        <v>13.75</v>
      </c>
      <c r="GO30" s="40"/>
      <c r="GP30" s="42">
        <v>13.54</v>
      </c>
      <c r="GS30" s="40"/>
      <c r="GT30" s="42">
        <v>13.78</v>
      </c>
      <c r="GX30" s="40"/>
      <c r="GY30" s="42">
        <v>13.75</v>
      </c>
      <c r="HC30" s="40"/>
      <c r="HD30" s="42">
        <v>13.78</v>
      </c>
      <c r="HG30" s="40"/>
      <c r="HH30" s="42">
        <v>13.67</v>
      </c>
      <c r="HN30" s="40"/>
      <c r="HO30" s="42">
        <v>13.57</v>
      </c>
      <c r="HT30" s="40"/>
      <c r="HU30" s="42">
        <v>13.8</v>
      </c>
      <c r="HZ30" s="40"/>
      <c r="IA30" s="42">
        <v>13.78</v>
      </c>
      <c r="IE30" s="40"/>
      <c r="IF30" s="42">
        <v>13.72</v>
      </c>
      <c r="II30" s="40"/>
      <c r="IJ30" s="42">
        <v>13.75</v>
      </c>
      <c r="IO30" s="40"/>
      <c r="IP30" s="42">
        <v>13.7</v>
      </c>
      <c r="IU30" s="40"/>
      <c r="IV30" s="42">
        <v>13.7</v>
      </c>
      <c r="JI30" s="40"/>
      <c r="JJ30" s="42">
        <v>13.75</v>
      </c>
      <c r="JN30" s="40"/>
      <c r="JO30" s="42">
        <v>13.57</v>
      </c>
      <c r="JS30" s="40"/>
      <c r="JT30" s="42">
        <v>13.89</v>
      </c>
      <c r="JX30" s="40"/>
      <c r="JY30" s="42">
        <v>13.77</v>
      </c>
      <c r="KA30" s="40"/>
      <c r="KB30" s="42">
        <v>13.66</v>
      </c>
      <c r="KF30" s="40"/>
      <c r="KG30" s="42">
        <v>13.66</v>
      </c>
    </row>
    <row r="31" spans="1:306" x14ac:dyDescent="0.25">
      <c r="A31" s="22"/>
      <c r="B31" s="23" t="s">
        <v>68</v>
      </c>
      <c r="C31" s="78">
        <f t="shared" si="8"/>
        <v>0.4</v>
      </c>
      <c r="D31" s="36">
        <f>(13.78+13.76)/2</f>
        <v>13.77</v>
      </c>
      <c r="E31" s="24">
        <f t="shared" si="1"/>
        <v>13.37</v>
      </c>
      <c r="F31" s="24">
        <f>(13.45+13.3)/2</f>
        <v>13.375</v>
      </c>
      <c r="G31" s="24">
        <f t="shared" si="9"/>
        <v>-5.0000000000007816E-3</v>
      </c>
      <c r="H31" s="23">
        <f>50.01</f>
        <v>50.01</v>
      </c>
      <c r="I31" s="25">
        <f t="shared" si="7"/>
        <v>-0.25005000000003907</v>
      </c>
      <c r="L31" s="40"/>
      <c r="M31" s="42">
        <v>13.65</v>
      </c>
      <c r="S31" s="40"/>
      <c r="T31" s="41">
        <v>13.5</v>
      </c>
      <c r="U31" s="41">
        <v>13.47</v>
      </c>
      <c r="V31" s="42">
        <v>13.52</v>
      </c>
      <c r="AJ31" s="40"/>
      <c r="AK31" s="41">
        <v>13.5</v>
      </c>
      <c r="AL31" s="42"/>
      <c r="AS31" s="40"/>
      <c r="AT31" s="41">
        <v>13.5</v>
      </c>
      <c r="AU31" s="42">
        <v>13.62</v>
      </c>
      <c r="BD31" s="40"/>
      <c r="BE31" s="42">
        <v>13.55</v>
      </c>
      <c r="BK31" s="40"/>
      <c r="BL31" s="41">
        <v>13.47</v>
      </c>
      <c r="BM31" s="42">
        <v>13.37</v>
      </c>
      <c r="BY31" s="40"/>
      <c r="BZ31" s="42">
        <v>13.37</v>
      </c>
      <c r="CE31" s="40"/>
      <c r="CF31" s="42">
        <v>13.51</v>
      </c>
      <c r="CJ31" s="40"/>
      <c r="CK31" s="41">
        <v>13.85</v>
      </c>
      <c r="CL31" s="42">
        <v>13.85</v>
      </c>
      <c r="CQ31" s="40"/>
      <c r="CR31" s="42">
        <v>13.85</v>
      </c>
      <c r="CV31" s="40"/>
      <c r="CW31" s="42">
        <v>13.85</v>
      </c>
      <c r="CY31" s="40"/>
      <c r="CZ31" s="42">
        <v>13.85</v>
      </c>
      <c r="DD31" s="40"/>
      <c r="DE31" s="41">
        <v>13.67</v>
      </c>
      <c r="DF31" s="42">
        <v>13.75</v>
      </c>
      <c r="DJ31" s="40"/>
      <c r="DK31" s="42">
        <v>13.7</v>
      </c>
      <c r="DO31" s="40"/>
      <c r="DP31" s="41">
        <v>13.7</v>
      </c>
      <c r="DQ31" s="42">
        <v>13.67</v>
      </c>
      <c r="DV31" s="40"/>
      <c r="DW31" s="42">
        <v>13.67</v>
      </c>
      <c r="EA31" s="40"/>
      <c r="EB31" s="41">
        <v>13.67</v>
      </c>
      <c r="EC31" s="42">
        <v>13.75</v>
      </c>
      <c r="EP31" s="40"/>
      <c r="EQ31" s="42">
        <v>13.72</v>
      </c>
      <c r="ES31" s="40"/>
      <c r="ET31" s="42">
        <v>13.61</v>
      </c>
      <c r="FM31" s="40"/>
      <c r="FN31" s="42">
        <v>13.78</v>
      </c>
      <c r="FU31" s="40"/>
      <c r="FV31" s="41">
        <v>13.85</v>
      </c>
      <c r="FW31" s="42"/>
      <c r="FY31" s="40"/>
      <c r="FZ31" s="41">
        <v>13.75</v>
      </c>
      <c r="GA31" s="42">
        <v>13.75</v>
      </c>
      <c r="GC31" s="40"/>
      <c r="GD31" s="42">
        <v>13.85</v>
      </c>
      <c r="GH31" s="40"/>
      <c r="GI31" s="42">
        <v>13.65</v>
      </c>
      <c r="GK31" s="40"/>
      <c r="GL31" s="42">
        <v>13.54</v>
      </c>
      <c r="GO31" s="40"/>
      <c r="GP31" s="42">
        <v>13.75</v>
      </c>
      <c r="GS31" s="40"/>
      <c r="GT31" s="42">
        <v>13.78</v>
      </c>
      <c r="GX31" s="40"/>
      <c r="GY31" s="42">
        <v>13.7</v>
      </c>
      <c r="HC31" s="40"/>
      <c r="HD31" s="42">
        <v>13.78</v>
      </c>
      <c r="HG31" s="40"/>
      <c r="HH31" s="42">
        <v>13.57</v>
      </c>
      <c r="HN31" s="40"/>
      <c r="HO31" s="42">
        <v>13.67</v>
      </c>
      <c r="HT31" s="40"/>
      <c r="HU31" s="42">
        <v>13.8</v>
      </c>
      <c r="HZ31" s="40"/>
      <c r="IA31" s="42">
        <v>13.78</v>
      </c>
      <c r="IE31" s="40"/>
      <c r="IF31" s="42">
        <v>13.6</v>
      </c>
      <c r="II31" s="40"/>
      <c r="IJ31" s="42">
        <v>13.68</v>
      </c>
      <c r="IO31" s="40"/>
      <c r="IP31" s="42">
        <v>13.7</v>
      </c>
      <c r="IU31" s="40"/>
      <c r="IV31" s="42">
        <v>13.7</v>
      </c>
      <c r="JI31" s="40"/>
      <c r="JJ31" s="42">
        <v>13.63</v>
      </c>
      <c r="JN31" s="40"/>
      <c r="JO31" s="42">
        <v>13.63</v>
      </c>
      <c r="JS31" s="40"/>
      <c r="JT31" s="42">
        <v>13.8</v>
      </c>
      <c r="JX31" s="40"/>
      <c r="JY31" s="42">
        <v>13.79</v>
      </c>
      <c r="KA31" s="40"/>
      <c r="KB31" s="42">
        <v>13.59</v>
      </c>
      <c r="KF31" s="40"/>
      <c r="KG31" s="42">
        <v>13.69</v>
      </c>
    </row>
    <row r="32" spans="1:306" x14ac:dyDescent="0.25">
      <c r="A32" s="22"/>
      <c r="B32" s="23" t="s">
        <v>68</v>
      </c>
      <c r="C32" s="78">
        <f t="shared" si="8"/>
        <v>0.4</v>
      </c>
      <c r="D32" s="36">
        <v>13.8</v>
      </c>
      <c r="E32" s="24">
        <f t="shared" si="1"/>
        <v>13.4</v>
      </c>
      <c r="F32" s="24">
        <f>(13.88+13.79+13.74+13.79+13.74)/5</f>
        <v>13.788</v>
      </c>
      <c r="G32" s="24">
        <f t="shared" si="9"/>
        <v>-0.3879999999999999</v>
      </c>
      <c r="H32" s="23">
        <v>7.03</v>
      </c>
      <c r="I32" s="25">
        <f t="shared" si="7"/>
        <v>-2.7276399999999992</v>
      </c>
      <c r="L32" s="40"/>
      <c r="M32" s="42">
        <v>13.6</v>
      </c>
      <c r="S32" s="40"/>
      <c r="T32" s="41">
        <v>13.65</v>
      </c>
      <c r="U32" s="41">
        <v>13.52</v>
      </c>
      <c r="V32" s="42">
        <v>13.52</v>
      </c>
      <c r="AJ32" s="40"/>
      <c r="AK32" s="41">
        <v>13.45</v>
      </c>
      <c r="AL32" s="42"/>
      <c r="AS32" s="40"/>
      <c r="AT32" s="41">
        <v>13.6</v>
      </c>
      <c r="AU32" s="42">
        <v>13.6</v>
      </c>
      <c r="BD32" s="40"/>
      <c r="BE32" s="42">
        <v>13.57</v>
      </c>
      <c r="BK32" s="40"/>
      <c r="BL32" s="41">
        <v>13.42</v>
      </c>
      <c r="BM32" s="42">
        <v>13.47</v>
      </c>
      <c r="BY32" s="40"/>
      <c r="BZ32" s="42">
        <v>13.52</v>
      </c>
      <c r="CE32" s="40"/>
      <c r="CF32" s="42">
        <v>13.39</v>
      </c>
      <c r="CJ32" s="40"/>
      <c r="CK32" s="41">
        <v>13.75</v>
      </c>
      <c r="CL32" s="42">
        <v>13.78</v>
      </c>
      <c r="CQ32" s="40"/>
      <c r="CR32" s="42">
        <v>13.78</v>
      </c>
      <c r="CV32" s="40"/>
      <c r="CW32" s="42">
        <v>13.8</v>
      </c>
      <c r="CY32" s="40"/>
      <c r="CZ32" s="42">
        <v>13.85</v>
      </c>
      <c r="DD32" s="40"/>
      <c r="DE32" s="41">
        <v>13.7</v>
      </c>
      <c r="DF32" s="42">
        <v>13.7</v>
      </c>
      <c r="DJ32" s="40"/>
      <c r="DK32" s="42">
        <v>13.67</v>
      </c>
      <c r="DO32" s="40"/>
      <c r="DP32" s="41">
        <v>13.67</v>
      </c>
      <c r="DQ32" s="42"/>
      <c r="DV32" s="40"/>
      <c r="DW32" s="42">
        <v>13.7</v>
      </c>
      <c r="EA32" s="40"/>
      <c r="EB32" s="41">
        <v>13.7</v>
      </c>
      <c r="EC32" s="42">
        <v>13.7</v>
      </c>
      <c r="EP32" s="40"/>
      <c r="EQ32" s="42">
        <v>13.78</v>
      </c>
      <c r="ES32" s="40"/>
      <c r="ET32" s="42">
        <v>13.68</v>
      </c>
      <c r="FM32" s="40"/>
      <c r="FN32" s="42">
        <v>13.73</v>
      </c>
      <c r="FU32" s="40"/>
      <c r="FV32" s="41">
        <v>13.75</v>
      </c>
      <c r="FW32" s="42"/>
      <c r="FY32" s="40"/>
      <c r="FZ32" s="41">
        <v>13.64</v>
      </c>
      <c r="GA32" s="42">
        <v>13.66</v>
      </c>
      <c r="GC32" s="40"/>
      <c r="GD32" s="42">
        <v>13.7</v>
      </c>
      <c r="GH32" s="40"/>
      <c r="GI32" s="42">
        <v>13.85</v>
      </c>
      <c r="GK32" s="40"/>
      <c r="GL32" s="42">
        <v>13.64</v>
      </c>
      <c r="GO32" s="40"/>
      <c r="GP32" s="42">
        <v>13.64</v>
      </c>
      <c r="GS32" s="40"/>
      <c r="GT32" s="42">
        <v>13.78</v>
      </c>
      <c r="GX32" s="40"/>
      <c r="GY32" s="42">
        <v>13.8</v>
      </c>
      <c r="HC32" s="40"/>
      <c r="HD32" s="42"/>
      <c r="HG32" s="40"/>
      <c r="HH32" s="42">
        <v>13.75</v>
      </c>
      <c r="HN32" s="40"/>
      <c r="HO32" s="42">
        <v>13.62</v>
      </c>
      <c r="HT32" s="40"/>
      <c r="HU32" s="42">
        <v>13.8</v>
      </c>
      <c r="HZ32" s="40"/>
      <c r="IA32" s="42">
        <v>13.78</v>
      </c>
      <c r="IE32" s="40"/>
      <c r="IF32" s="42"/>
      <c r="II32" s="40"/>
      <c r="IJ32" s="42">
        <v>13.59</v>
      </c>
      <c r="IO32" s="40"/>
      <c r="IP32" s="42">
        <v>13.7</v>
      </c>
      <c r="IU32" s="40"/>
      <c r="IV32" s="42">
        <v>13.7</v>
      </c>
      <c r="JI32" s="40"/>
      <c r="JJ32" s="42">
        <v>13.62</v>
      </c>
      <c r="JN32" s="40"/>
      <c r="JO32" s="42">
        <v>13.67</v>
      </c>
      <c r="JS32" s="40"/>
      <c r="JT32" s="42">
        <v>13.85</v>
      </c>
      <c r="JX32" s="40"/>
      <c r="JY32" s="42">
        <v>13.8</v>
      </c>
      <c r="KA32" s="40"/>
      <c r="KB32" s="42">
        <v>13.69</v>
      </c>
      <c r="KF32" s="40"/>
      <c r="KG32" s="42">
        <v>13.69</v>
      </c>
    </row>
    <row r="33" spans="1:293" x14ac:dyDescent="0.25">
      <c r="A33" s="22"/>
      <c r="B33" s="23" t="s">
        <v>68</v>
      </c>
      <c r="C33" s="78">
        <f t="shared" si="8"/>
        <v>0.4</v>
      </c>
      <c r="D33" s="36">
        <f>(13.7+13.77)/2</f>
        <v>13.734999999999999</v>
      </c>
      <c r="E33" s="24">
        <f t="shared" si="1"/>
        <v>13.334999999999999</v>
      </c>
      <c r="F33" s="24">
        <f>EZ23</f>
        <v>13.948333333333336</v>
      </c>
      <c r="G33" s="24">
        <f t="shared" si="9"/>
        <v>-0.61333333333333684</v>
      </c>
      <c r="H33" s="23">
        <v>73.75</v>
      </c>
      <c r="I33" s="25">
        <f t="shared" si="7"/>
        <v>-45.23333333333359</v>
      </c>
      <c r="L33" s="40"/>
      <c r="M33" s="42">
        <v>13.6</v>
      </c>
      <c r="S33" s="40"/>
      <c r="T33" s="41">
        <v>13.7</v>
      </c>
      <c r="U33" s="41">
        <v>13.42</v>
      </c>
      <c r="V33" s="42">
        <v>13.47</v>
      </c>
      <c r="AJ33" s="40"/>
      <c r="AK33" s="41">
        <v>13.6</v>
      </c>
      <c r="AL33" s="42"/>
      <c r="AS33" s="40"/>
      <c r="AT33" s="41">
        <v>13.65</v>
      </c>
      <c r="AU33" s="42">
        <v>13.65</v>
      </c>
      <c r="BD33" s="40"/>
      <c r="BE33" s="42">
        <v>13.52</v>
      </c>
      <c r="BK33" s="40"/>
      <c r="BL33" s="41">
        <v>13.55</v>
      </c>
      <c r="BM33" s="42">
        <v>13.52</v>
      </c>
      <c r="BY33" s="40"/>
      <c r="BZ33" s="42">
        <v>13.47</v>
      </c>
      <c r="CE33" s="40"/>
      <c r="CF33" s="42">
        <v>13.51</v>
      </c>
      <c r="CJ33" s="40"/>
      <c r="CK33" s="41">
        <v>13.78</v>
      </c>
      <c r="CL33" s="42">
        <v>13.85</v>
      </c>
      <c r="CQ33" s="40"/>
      <c r="CR33" s="42">
        <v>13.75</v>
      </c>
      <c r="CV33" s="40"/>
      <c r="CW33" s="42">
        <v>13.85</v>
      </c>
      <c r="CY33" s="40"/>
      <c r="CZ33" s="42">
        <v>13.78</v>
      </c>
      <c r="DD33" s="40"/>
      <c r="DE33" s="41">
        <v>13.7</v>
      </c>
      <c r="DF33" s="42">
        <v>13.67</v>
      </c>
      <c r="DJ33" s="40"/>
      <c r="DK33" s="42">
        <v>13.67</v>
      </c>
      <c r="DO33" s="40"/>
      <c r="DP33" s="41">
        <v>13.7</v>
      </c>
      <c r="DQ33" s="42"/>
      <c r="DV33" s="40"/>
      <c r="DW33" s="42">
        <v>13.75</v>
      </c>
      <c r="EA33" s="40"/>
      <c r="EB33" s="41">
        <v>13.7</v>
      </c>
      <c r="EC33" s="42">
        <v>13.67</v>
      </c>
      <c r="EP33" s="40"/>
      <c r="EQ33" s="42">
        <v>13.72</v>
      </c>
      <c r="ES33" s="40"/>
      <c r="ET33" s="42">
        <v>13.61</v>
      </c>
      <c r="FM33" s="40"/>
      <c r="FN33" s="42">
        <v>13.85</v>
      </c>
      <c r="FU33" s="40"/>
      <c r="FV33" s="41">
        <v>13.85</v>
      </c>
      <c r="FW33" s="42"/>
      <c r="FY33" s="40"/>
      <c r="FZ33" s="41">
        <v>13.75</v>
      </c>
      <c r="GA33" s="42"/>
      <c r="GC33" s="40"/>
      <c r="GD33" s="42">
        <v>13.75</v>
      </c>
      <c r="GH33" s="40"/>
      <c r="GI33" s="42">
        <v>13.75</v>
      </c>
      <c r="GK33" s="40"/>
      <c r="GL33" s="42">
        <v>13.54</v>
      </c>
      <c r="GO33" s="40"/>
      <c r="GP33" s="42">
        <v>13.54</v>
      </c>
      <c r="GS33" s="40"/>
      <c r="GT33" s="42">
        <v>13.78</v>
      </c>
      <c r="GX33" s="40"/>
      <c r="GY33" s="42">
        <v>13.72</v>
      </c>
      <c r="HC33" s="40"/>
      <c r="HD33" s="42"/>
      <c r="HG33" s="40"/>
      <c r="HH33" s="42">
        <v>13.67</v>
      </c>
      <c r="HN33" s="40"/>
      <c r="HO33" s="42">
        <v>13.61</v>
      </c>
      <c r="HT33" s="40"/>
      <c r="HU33" s="42">
        <v>13.8</v>
      </c>
      <c r="HZ33" s="40"/>
      <c r="IA33" s="42">
        <v>13.78</v>
      </c>
      <c r="IE33" s="40"/>
      <c r="IF33" s="42"/>
      <c r="II33" s="40"/>
      <c r="IJ33" s="42">
        <v>13.67</v>
      </c>
      <c r="IO33" s="40"/>
      <c r="IP33" s="42">
        <v>13.7</v>
      </c>
      <c r="IU33" s="40"/>
      <c r="IV33" s="42">
        <v>13.7</v>
      </c>
      <c r="JI33" s="40"/>
      <c r="JJ33" s="42">
        <v>13.5</v>
      </c>
      <c r="JN33" s="40"/>
      <c r="JO33" s="42">
        <v>13.65</v>
      </c>
      <c r="JS33" s="40"/>
      <c r="JT33" s="42">
        <v>13.8</v>
      </c>
      <c r="JX33" s="40"/>
      <c r="JY33" s="42">
        <v>13.78</v>
      </c>
      <c r="KA33" s="40"/>
      <c r="KB33" s="42">
        <v>13.69</v>
      </c>
      <c r="KF33" s="40"/>
      <c r="KG33" s="42">
        <v>13.7</v>
      </c>
    </row>
    <row r="34" spans="1:293" x14ac:dyDescent="0.25">
      <c r="A34" s="22"/>
      <c r="B34" s="23" t="s">
        <v>68</v>
      </c>
      <c r="C34" s="78">
        <f t="shared" si="8"/>
        <v>0.4</v>
      </c>
      <c r="D34" s="36">
        <v>13.8</v>
      </c>
      <c r="E34" s="24">
        <f t="shared" si="1"/>
        <v>13.4</v>
      </c>
      <c r="F34" s="24">
        <v>13.3</v>
      </c>
      <c r="G34" s="24">
        <f t="shared" si="9"/>
        <v>9.9999999999999645E-2</v>
      </c>
      <c r="H34" s="23">
        <v>13.25</v>
      </c>
      <c r="I34" s="25">
        <f t="shared" si="7"/>
        <v>1.3249999999999953</v>
      </c>
      <c r="L34" s="40"/>
      <c r="M34" s="42">
        <v>13.5</v>
      </c>
      <c r="S34" s="40"/>
      <c r="T34" s="41">
        <v>13.65</v>
      </c>
      <c r="U34" s="41">
        <v>13.37</v>
      </c>
      <c r="V34" s="42">
        <v>13.52</v>
      </c>
      <c r="AJ34" s="40"/>
      <c r="AK34" s="41">
        <v>13.6</v>
      </c>
      <c r="AL34" s="42"/>
      <c r="AS34" s="40"/>
      <c r="AT34" s="41">
        <v>13.6</v>
      </c>
      <c r="AU34" s="42"/>
      <c r="BD34" s="40"/>
      <c r="BE34" s="42">
        <v>13.52</v>
      </c>
      <c r="BK34" s="40"/>
      <c r="BL34" s="41">
        <v>13.55</v>
      </c>
      <c r="BM34" s="42">
        <v>13.47</v>
      </c>
      <c r="BY34" s="40"/>
      <c r="BZ34" s="42">
        <v>13.52</v>
      </c>
      <c r="CE34" s="40"/>
      <c r="CF34" s="42">
        <v>13.57</v>
      </c>
      <c r="CJ34" s="40"/>
      <c r="CK34" s="41">
        <v>13.85</v>
      </c>
      <c r="CL34" s="42">
        <v>13.75</v>
      </c>
      <c r="CQ34" s="40"/>
      <c r="CR34" s="42">
        <v>13.85</v>
      </c>
      <c r="CV34" s="40"/>
      <c r="CW34" s="42">
        <v>13.8</v>
      </c>
      <c r="CY34" s="40"/>
      <c r="CZ34" s="42">
        <v>13.75</v>
      </c>
      <c r="DD34" s="40"/>
      <c r="DE34" s="41">
        <v>13.67</v>
      </c>
      <c r="DF34" s="42"/>
      <c r="DJ34" s="40"/>
      <c r="DK34" s="42">
        <v>13.7</v>
      </c>
      <c r="DO34" s="40"/>
      <c r="DP34" s="41">
        <v>13.67</v>
      </c>
      <c r="DQ34" s="42"/>
      <c r="DV34" s="40"/>
      <c r="DW34" s="42">
        <v>13.67</v>
      </c>
      <c r="EA34" s="40"/>
      <c r="EB34" s="41">
        <v>13.67</v>
      </c>
      <c r="EC34" s="42"/>
      <c r="EP34" s="40"/>
      <c r="EQ34" s="42">
        <v>13.75</v>
      </c>
      <c r="ES34" s="40"/>
      <c r="ET34" s="42">
        <v>13.74</v>
      </c>
      <c r="FM34" s="40"/>
      <c r="FN34" s="42">
        <v>13.78</v>
      </c>
      <c r="FU34" s="40"/>
      <c r="FV34" s="41">
        <v>13.77</v>
      </c>
      <c r="FW34" s="42"/>
      <c r="FY34" s="40"/>
      <c r="FZ34" s="41">
        <v>13.64</v>
      </c>
      <c r="GA34" s="42"/>
      <c r="GC34" s="40"/>
      <c r="GD34" s="42">
        <v>13.65</v>
      </c>
      <c r="GH34" s="40"/>
      <c r="GI34" s="42">
        <v>13.65</v>
      </c>
      <c r="GK34" s="40"/>
      <c r="GL34" s="42">
        <v>13.65</v>
      </c>
      <c r="GO34" s="40"/>
      <c r="GP34" s="42">
        <v>13.66</v>
      </c>
      <c r="GS34" s="40"/>
      <c r="GT34" s="42">
        <v>13.78</v>
      </c>
      <c r="GX34" s="40"/>
      <c r="GY34" s="42">
        <v>13.88</v>
      </c>
      <c r="HC34" s="40"/>
      <c r="HD34" s="42"/>
      <c r="HG34" s="40"/>
      <c r="HH34" s="42">
        <v>13.75</v>
      </c>
      <c r="HN34" s="40"/>
      <c r="HO34" s="42">
        <v>13.57</v>
      </c>
      <c r="HT34" s="40"/>
      <c r="HU34" s="42"/>
      <c r="HZ34" s="40"/>
      <c r="IA34" s="42">
        <v>13.78</v>
      </c>
      <c r="IE34" s="40"/>
      <c r="IF34" s="42"/>
      <c r="II34" s="40"/>
      <c r="IJ34" s="42">
        <v>13.6</v>
      </c>
      <c r="IO34" s="40"/>
      <c r="IP34" s="42">
        <v>13.7</v>
      </c>
      <c r="IU34" s="40"/>
      <c r="IV34" s="42"/>
      <c r="JI34" s="40"/>
      <c r="JJ34" s="42">
        <v>13.66</v>
      </c>
      <c r="JN34" s="40"/>
      <c r="JO34" s="42">
        <v>13.87</v>
      </c>
      <c r="JS34" s="40"/>
      <c r="JT34" s="42">
        <v>13.7</v>
      </c>
      <c r="JX34" s="40"/>
      <c r="JY34" s="42">
        <v>13.78</v>
      </c>
      <c r="KA34" s="40"/>
      <c r="KB34" s="42">
        <v>13.59</v>
      </c>
      <c r="KF34" s="40"/>
      <c r="KG34" s="42">
        <v>13.59</v>
      </c>
    </row>
    <row r="35" spans="1:293" x14ac:dyDescent="0.25">
      <c r="A35" s="22"/>
      <c r="B35" s="23" t="s">
        <v>68</v>
      </c>
      <c r="C35" s="78">
        <f t="shared" si="8"/>
        <v>0.4</v>
      </c>
      <c r="D35" s="36">
        <f>(13.67+13.75)/2</f>
        <v>13.71</v>
      </c>
      <c r="E35" s="24">
        <f t="shared" si="1"/>
        <v>13.31</v>
      </c>
      <c r="F35" s="24">
        <f>FC23</f>
        <v>13.68722222222222</v>
      </c>
      <c r="G35" s="24">
        <f t="shared" si="9"/>
        <v>-0.37722222222221902</v>
      </c>
      <c r="H35" s="23">
        <f>232.26</f>
        <v>232.26</v>
      </c>
      <c r="I35" s="25">
        <f t="shared" si="7"/>
        <v>-87.613633333332587</v>
      </c>
      <c r="L35" s="40"/>
      <c r="M35" s="42">
        <v>13.65</v>
      </c>
      <c r="S35" s="40"/>
      <c r="T35" s="41">
        <v>13.54</v>
      </c>
      <c r="U35" s="41">
        <v>13.52</v>
      </c>
      <c r="V35" s="42">
        <v>13.5</v>
      </c>
      <c r="AJ35" s="40"/>
      <c r="AK35" s="41">
        <v>13.55</v>
      </c>
      <c r="AL35" s="42"/>
      <c r="AS35" s="40"/>
      <c r="AT35" s="41">
        <v>13.65</v>
      </c>
      <c r="AU35" s="42"/>
      <c r="BD35" s="40"/>
      <c r="BE35" s="42">
        <v>13.52</v>
      </c>
      <c r="BK35" s="40"/>
      <c r="BL35" s="41">
        <v>13.52</v>
      </c>
      <c r="BM35" s="42">
        <v>13.52</v>
      </c>
      <c r="BY35" s="40"/>
      <c r="BZ35" s="42">
        <v>13.42</v>
      </c>
      <c r="CE35" s="40"/>
      <c r="CF35" s="42">
        <v>13.48</v>
      </c>
      <c r="CJ35" s="40"/>
      <c r="CK35" s="41">
        <v>13.85</v>
      </c>
      <c r="CL35" s="42">
        <v>13.85</v>
      </c>
      <c r="CQ35" s="40"/>
      <c r="CR35" s="42">
        <v>13.78</v>
      </c>
      <c r="CV35" s="40"/>
      <c r="CW35" s="42"/>
      <c r="CY35" s="40"/>
      <c r="CZ35" s="42">
        <v>13.85</v>
      </c>
      <c r="DD35" s="40"/>
      <c r="DE35" s="41">
        <v>13.7</v>
      </c>
      <c r="DF35" s="42"/>
      <c r="DJ35" s="40"/>
      <c r="DK35" s="42">
        <v>13.7</v>
      </c>
      <c r="DO35" s="40"/>
      <c r="DP35" s="41">
        <v>13.75</v>
      </c>
      <c r="DQ35" s="42"/>
      <c r="DV35" s="40"/>
      <c r="DW35" s="42">
        <v>13.7</v>
      </c>
      <c r="EA35" s="40"/>
      <c r="EB35" s="41">
        <v>13.7</v>
      </c>
      <c r="EC35" s="42"/>
      <c r="EP35" s="40"/>
      <c r="EQ35" s="42">
        <v>13.83</v>
      </c>
      <c r="ES35" s="40"/>
      <c r="ET35" s="42">
        <v>13.64</v>
      </c>
      <c r="FM35" s="40"/>
      <c r="FN35" s="42">
        <v>13.73</v>
      </c>
      <c r="FU35" s="40"/>
      <c r="FV35" s="41">
        <v>13.85</v>
      </c>
      <c r="FW35" s="42"/>
      <c r="FY35" s="40"/>
      <c r="FZ35" s="41">
        <v>13.75</v>
      </c>
      <c r="GA35" s="42"/>
      <c r="GC35" s="40"/>
      <c r="GD35" s="42">
        <v>13.75</v>
      </c>
      <c r="GH35" s="40"/>
      <c r="GI35" s="42">
        <v>13.75</v>
      </c>
      <c r="GK35" s="40"/>
      <c r="GL35" s="42"/>
      <c r="GO35" s="40"/>
      <c r="GP35" s="42"/>
      <c r="GS35" s="40"/>
      <c r="GT35" s="42">
        <v>13.78</v>
      </c>
      <c r="GX35" s="40"/>
      <c r="GY35" s="42">
        <v>13.88</v>
      </c>
      <c r="HC35" s="40"/>
      <c r="HD35" s="42"/>
      <c r="HG35" s="40"/>
      <c r="HH35" s="42">
        <v>13.57</v>
      </c>
      <c r="HN35" s="40"/>
      <c r="HO35" s="42">
        <v>13.75</v>
      </c>
      <c r="HT35" s="40"/>
      <c r="HU35" s="42"/>
      <c r="HZ35" s="40"/>
      <c r="IA35" s="42"/>
      <c r="IE35" s="40"/>
      <c r="IF35" s="42"/>
      <c r="II35" s="40"/>
      <c r="IJ35" s="42">
        <v>13.57</v>
      </c>
      <c r="IO35" s="40"/>
      <c r="IP35" s="42">
        <v>13.7</v>
      </c>
      <c r="IU35" s="40"/>
      <c r="IV35" s="42"/>
      <c r="JI35" s="40"/>
      <c r="JJ35" s="42">
        <v>13.66</v>
      </c>
      <c r="JN35" s="40"/>
      <c r="JO35" s="42">
        <v>13.88</v>
      </c>
      <c r="JS35" s="40"/>
      <c r="JT35" s="42">
        <v>13.8</v>
      </c>
      <c r="JX35" s="40"/>
      <c r="JY35" s="42">
        <v>13.8</v>
      </c>
      <c r="KA35" s="40"/>
      <c r="KB35" s="42">
        <v>13.59</v>
      </c>
      <c r="KF35" s="40"/>
      <c r="KG35" s="42">
        <v>13.7</v>
      </c>
    </row>
    <row r="36" spans="1:293" x14ac:dyDescent="0.25">
      <c r="A36" s="22"/>
      <c r="B36" s="23" t="s">
        <v>68</v>
      </c>
      <c r="C36" s="78">
        <f t="shared" si="8"/>
        <v>0.4</v>
      </c>
      <c r="D36" s="36">
        <v>13.68</v>
      </c>
      <c r="E36" s="24">
        <f t="shared" si="1"/>
        <v>13.28</v>
      </c>
      <c r="F36" s="24">
        <f>(13.62+13.64+13.65+13.67+13.68)/5</f>
        <v>13.651999999999997</v>
      </c>
      <c r="G36" s="24">
        <f t="shared" si="9"/>
        <v>-0.37199999999999811</v>
      </c>
      <c r="H36" s="23">
        <f>36.58</f>
        <v>36.58</v>
      </c>
      <c r="I36" s="25">
        <f t="shared" si="7"/>
        <v>-13.60775999999993</v>
      </c>
      <c r="L36" s="40"/>
      <c r="M36" s="42">
        <v>13.6</v>
      </c>
      <c r="S36" s="40"/>
      <c r="T36" s="41">
        <v>13.43</v>
      </c>
      <c r="U36" s="41">
        <v>13.45</v>
      </c>
      <c r="V36" s="42">
        <v>13.5</v>
      </c>
      <c r="AJ36" s="40"/>
      <c r="AK36" s="41">
        <v>13.6</v>
      </c>
      <c r="AL36" s="42"/>
      <c r="AS36" s="40"/>
      <c r="AT36" s="41">
        <v>13.62</v>
      </c>
      <c r="AU36" s="42"/>
      <c r="BD36" s="40"/>
      <c r="BE36" s="42">
        <v>13.42</v>
      </c>
      <c r="BK36" s="40"/>
      <c r="BL36" s="41">
        <v>13.52</v>
      </c>
      <c r="BM36" s="42">
        <v>13.5</v>
      </c>
      <c r="BY36" s="40"/>
      <c r="BZ36" s="42">
        <v>13.37</v>
      </c>
      <c r="CE36" s="40"/>
      <c r="CF36" s="42">
        <v>13.45</v>
      </c>
      <c r="CJ36" s="40"/>
      <c r="CK36" s="41">
        <v>13.85</v>
      </c>
      <c r="CL36" s="42">
        <v>13.78</v>
      </c>
      <c r="CQ36" s="40"/>
      <c r="CR36" s="42">
        <v>13.75</v>
      </c>
      <c r="CV36" s="40"/>
      <c r="CW36" s="42"/>
      <c r="CY36" s="40"/>
      <c r="CZ36" s="42">
        <v>13.78</v>
      </c>
      <c r="DD36" s="40"/>
      <c r="DE36" s="41">
        <v>13.67</v>
      </c>
      <c r="DF36" s="42"/>
      <c r="DJ36" s="40"/>
      <c r="DK36" s="42">
        <v>13.75</v>
      </c>
      <c r="DO36" s="40"/>
      <c r="DP36" s="41">
        <v>13.7</v>
      </c>
      <c r="DQ36" s="42"/>
      <c r="DV36" s="40"/>
      <c r="DW36" s="42">
        <v>13.75</v>
      </c>
      <c r="EA36" s="40"/>
      <c r="EB36" s="41">
        <v>13.67</v>
      </c>
      <c r="EC36" s="42"/>
      <c r="EP36" s="40"/>
      <c r="EQ36" s="42">
        <v>13.76</v>
      </c>
      <c r="ES36" s="40"/>
      <c r="ET36" s="42">
        <v>13.67</v>
      </c>
      <c r="FM36" s="40"/>
      <c r="FN36" s="42">
        <v>13.78</v>
      </c>
      <c r="FU36" s="40"/>
      <c r="FV36" s="41">
        <v>13.78</v>
      </c>
      <c r="FW36" s="42"/>
      <c r="FY36" s="40"/>
      <c r="FZ36" s="41">
        <v>13.62</v>
      </c>
      <c r="GA36" s="42"/>
      <c r="GC36" s="40"/>
      <c r="GD36" s="42"/>
      <c r="GH36" s="40"/>
      <c r="GI36" s="42"/>
      <c r="GK36" s="40"/>
      <c r="GL36" s="42"/>
      <c r="GO36" s="40"/>
      <c r="GP36" s="42"/>
      <c r="GS36" s="40"/>
      <c r="GT36" s="42">
        <v>13.78</v>
      </c>
      <c r="GX36" s="40"/>
      <c r="GY36" s="42">
        <f>13.5+0.15</f>
        <v>13.65</v>
      </c>
      <c r="HC36" s="40"/>
      <c r="HD36" s="42"/>
      <c r="HG36" s="40"/>
      <c r="HH36" s="42">
        <v>13.6</v>
      </c>
      <c r="HN36" s="40"/>
      <c r="HO36" s="42">
        <v>13.67</v>
      </c>
      <c r="HT36" s="40"/>
      <c r="HU36" s="42"/>
      <c r="HZ36" s="40"/>
      <c r="IA36" s="42"/>
      <c r="IE36" s="40"/>
      <c r="IF36" s="42"/>
      <c r="II36" s="40"/>
      <c r="IJ36" s="42">
        <v>13.68</v>
      </c>
      <c r="IO36" s="40"/>
      <c r="IP36" s="42">
        <v>13.7</v>
      </c>
      <c r="IU36" s="40"/>
      <c r="IV36" s="42"/>
      <c r="JI36" s="40"/>
      <c r="JJ36" s="42">
        <v>13.67</v>
      </c>
      <c r="JN36" s="40"/>
      <c r="JO36" s="42">
        <v>13.88</v>
      </c>
      <c r="JS36" s="40"/>
      <c r="JT36" s="42">
        <v>13.75</v>
      </c>
      <c r="JX36" s="40"/>
      <c r="JY36" s="42">
        <v>13.7</v>
      </c>
      <c r="KA36" s="40"/>
      <c r="KB36" s="42"/>
      <c r="KF36" s="40"/>
      <c r="KG36" s="42">
        <v>13.69</v>
      </c>
    </row>
    <row r="37" spans="1:293" x14ac:dyDescent="0.25">
      <c r="A37" s="22"/>
      <c r="B37" s="23" t="s">
        <v>68</v>
      </c>
      <c r="C37" s="78">
        <f t="shared" si="8"/>
        <v>0.4</v>
      </c>
      <c r="D37" s="36">
        <v>13.65</v>
      </c>
      <c r="E37" s="24">
        <f t="shared" si="1"/>
        <v>13.25</v>
      </c>
      <c r="F37" s="24">
        <v>13.35</v>
      </c>
      <c r="G37" s="24">
        <f t="shared" si="9"/>
        <v>-9.9999999999999645E-2</v>
      </c>
      <c r="H37" s="23">
        <v>42.64</v>
      </c>
      <c r="I37" s="25">
        <f t="shared" si="7"/>
        <v>-4.2639999999999851</v>
      </c>
      <c r="L37" s="40"/>
      <c r="M37" s="42">
        <v>13.6</v>
      </c>
      <c r="S37" s="40"/>
      <c r="T37" s="41">
        <v>13.39</v>
      </c>
      <c r="U37" s="41">
        <v>13.47</v>
      </c>
      <c r="V37" s="42">
        <v>13.53</v>
      </c>
      <c r="AJ37" s="40"/>
      <c r="AK37" s="41">
        <v>13.5</v>
      </c>
      <c r="AL37" s="42"/>
      <c r="AS37" s="40"/>
      <c r="AT37" s="41">
        <v>13.5</v>
      </c>
      <c r="AU37" s="42"/>
      <c r="BD37" s="40"/>
      <c r="BE37" s="42">
        <v>13.55</v>
      </c>
      <c r="BK37" s="40"/>
      <c r="BL37" s="41">
        <v>13.48</v>
      </c>
      <c r="BM37" s="42">
        <v>13.37</v>
      </c>
      <c r="BY37" s="40"/>
      <c r="BZ37" s="42">
        <v>13.52</v>
      </c>
      <c r="CE37" s="40"/>
      <c r="CF37" s="42">
        <v>13.55</v>
      </c>
      <c r="CJ37" s="40"/>
      <c r="CK37" s="41">
        <v>13.85</v>
      </c>
      <c r="CL37" s="42">
        <v>13.75</v>
      </c>
      <c r="CQ37" s="40"/>
      <c r="CR37" s="42">
        <v>13.85</v>
      </c>
      <c r="CV37" s="40"/>
      <c r="CW37" s="42"/>
      <c r="CY37" s="40"/>
      <c r="CZ37" s="42">
        <v>13.75</v>
      </c>
      <c r="DD37" s="40"/>
      <c r="DE37" s="41">
        <v>13.75</v>
      </c>
      <c r="DF37" s="42"/>
      <c r="DJ37" s="40"/>
      <c r="DK37" s="42">
        <v>13.7</v>
      </c>
      <c r="DO37" s="40"/>
      <c r="DP37" s="41">
        <v>13.67</v>
      </c>
      <c r="DQ37" s="42"/>
      <c r="DV37" s="40"/>
      <c r="DW37" s="42">
        <v>13.67</v>
      </c>
      <c r="EA37" s="40"/>
      <c r="EB37" s="41">
        <v>13.75</v>
      </c>
      <c r="EC37" s="42"/>
      <c r="EP37" s="40"/>
      <c r="EQ37" s="42">
        <v>13.78</v>
      </c>
      <c r="ES37" s="40"/>
      <c r="ET37" s="42">
        <v>13.61</v>
      </c>
      <c r="FM37" s="40"/>
      <c r="FN37" s="42">
        <v>13.73</v>
      </c>
      <c r="FU37" s="40"/>
      <c r="FV37" s="41">
        <v>13.85</v>
      </c>
      <c r="FW37" s="42"/>
      <c r="FY37" s="40"/>
      <c r="FZ37" s="41">
        <v>13.75</v>
      </c>
      <c r="GA37" s="42"/>
      <c r="GC37" s="40"/>
      <c r="GD37" s="42"/>
      <c r="GH37" s="40"/>
      <c r="GI37" s="42"/>
      <c r="GK37" s="40"/>
      <c r="GL37" s="42"/>
      <c r="GO37" s="40"/>
      <c r="GP37" s="42"/>
      <c r="GS37" s="40"/>
      <c r="GT37" s="42">
        <v>13.8</v>
      </c>
      <c r="GX37" s="40"/>
      <c r="GY37" s="42"/>
      <c r="HC37" s="40"/>
      <c r="HD37" s="42"/>
      <c r="HG37" s="40"/>
      <c r="HH37" s="42"/>
      <c r="HN37" s="40"/>
      <c r="HO37" s="42">
        <v>13.73</v>
      </c>
      <c r="HT37" s="40"/>
      <c r="HU37" s="42"/>
      <c r="HZ37" s="40"/>
      <c r="IA37" s="42"/>
      <c r="IE37" s="40"/>
      <c r="IF37" s="42"/>
      <c r="II37" s="40"/>
      <c r="IJ37" s="42">
        <v>13.74</v>
      </c>
      <c r="IO37" s="40"/>
      <c r="IP37" s="42"/>
      <c r="IU37" s="40"/>
      <c r="IV37" s="42"/>
      <c r="JI37" s="40"/>
      <c r="JJ37" s="42">
        <v>13.67</v>
      </c>
      <c r="JN37" s="40"/>
      <c r="JO37" s="42">
        <v>13.85</v>
      </c>
      <c r="JS37" s="40"/>
      <c r="JT37" s="42">
        <v>13.8</v>
      </c>
      <c r="JX37" s="40"/>
      <c r="JY37" s="42">
        <v>13.77</v>
      </c>
      <c r="KA37" s="40"/>
      <c r="KB37" s="42"/>
      <c r="KF37" s="40"/>
      <c r="KG37" s="42">
        <v>13.69</v>
      </c>
    </row>
    <row r="38" spans="1:293" x14ac:dyDescent="0.25">
      <c r="A38" s="22"/>
      <c r="B38" s="23" t="s">
        <v>68</v>
      </c>
      <c r="C38" s="78">
        <f t="shared" si="8"/>
        <v>0.4</v>
      </c>
      <c r="D38" s="36">
        <v>13.69</v>
      </c>
      <c r="E38" s="24">
        <f t="shared" si="1"/>
        <v>13.29</v>
      </c>
      <c r="F38" s="24">
        <f>(13.6+13.58)/2</f>
        <v>13.59</v>
      </c>
      <c r="G38" s="24">
        <f t="shared" si="9"/>
        <v>-0.30000000000000071</v>
      </c>
      <c r="H38" s="23">
        <v>7.08</v>
      </c>
      <c r="I38" s="25">
        <f t="shared" si="7"/>
        <v>-2.124000000000005</v>
      </c>
      <c r="L38" s="40"/>
      <c r="M38" s="42">
        <v>13.52</v>
      </c>
      <c r="S38" s="40"/>
      <c r="T38" s="41">
        <v>13.56</v>
      </c>
      <c r="U38" s="41">
        <v>13.52</v>
      </c>
      <c r="V38" s="42">
        <v>13.46</v>
      </c>
      <c r="AJ38" s="40"/>
      <c r="AK38" s="41">
        <v>13.45</v>
      </c>
      <c r="AL38" s="42"/>
      <c r="AS38" s="40"/>
      <c r="AT38" s="41">
        <v>13.6</v>
      </c>
      <c r="AU38" s="42"/>
      <c r="BD38" s="40"/>
      <c r="BE38" s="42">
        <v>13.6</v>
      </c>
      <c r="BK38" s="40"/>
      <c r="BL38" s="41">
        <v>13.42</v>
      </c>
      <c r="BM38" s="42">
        <v>13.47</v>
      </c>
      <c r="BY38" s="40"/>
      <c r="BZ38" s="42">
        <v>13.45</v>
      </c>
      <c r="CE38" s="40"/>
      <c r="CF38" s="42">
        <v>13.47</v>
      </c>
      <c r="CJ38" s="40"/>
      <c r="CK38" s="41">
        <v>13.85</v>
      </c>
      <c r="CL38" s="42">
        <v>13.85</v>
      </c>
      <c r="CQ38" s="40"/>
      <c r="CR38" s="42">
        <v>13.78</v>
      </c>
      <c r="CV38" s="40"/>
      <c r="CW38" s="42"/>
      <c r="CY38" s="40"/>
      <c r="CZ38" s="42">
        <v>13.85</v>
      </c>
      <c r="DD38" s="40"/>
      <c r="DE38" s="41">
        <v>13.7</v>
      </c>
      <c r="DF38" s="42"/>
      <c r="DJ38" s="40"/>
      <c r="DK38" s="42">
        <v>13.67</v>
      </c>
      <c r="DO38" s="40"/>
      <c r="DP38" s="41">
        <v>13.75</v>
      </c>
      <c r="DQ38" s="42"/>
      <c r="DV38" s="40"/>
      <c r="DW38" s="42">
        <v>13.7</v>
      </c>
      <c r="EA38" s="40"/>
      <c r="EB38" s="41">
        <v>13.75</v>
      </c>
      <c r="EC38" s="42"/>
      <c r="EP38" s="40"/>
      <c r="EQ38" s="42">
        <v>13.72</v>
      </c>
      <c r="ES38" s="40"/>
      <c r="ET38" s="42">
        <v>13.68</v>
      </c>
      <c r="FM38" s="40"/>
      <c r="FN38" s="42">
        <v>13.78</v>
      </c>
      <c r="FU38" s="40"/>
      <c r="FV38" s="41">
        <v>13.75</v>
      </c>
      <c r="FW38" s="42"/>
      <c r="FY38" s="40"/>
      <c r="FZ38" s="41">
        <v>13.65</v>
      </c>
      <c r="GA38" s="42"/>
      <c r="GC38" s="40"/>
      <c r="GD38" s="42"/>
      <c r="GH38" s="40"/>
      <c r="GI38" s="42"/>
      <c r="GK38" s="40"/>
      <c r="GL38" s="42"/>
      <c r="GO38" s="40"/>
      <c r="GP38" s="42"/>
      <c r="GS38" s="40"/>
      <c r="GT38" s="42">
        <v>13.77</v>
      </c>
      <c r="GX38" s="40"/>
      <c r="GY38" s="42"/>
      <c r="HC38" s="40"/>
      <c r="HD38" s="42"/>
      <c r="HG38" s="40"/>
      <c r="HH38" s="42"/>
      <c r="HN38" s="40"/>
      <c r="HO38" s="42"/>
      <c r="HT38" s="40"/>
      <c r="HU38" s="42"/>
      <c r="HZ38" s="40"/>
      <c r="IA38" s="42"/>
      <c r="IE38" s="40"/>
      <c r="IF38" s="42"/>
      <c r="II38" s="40"/>
      <c r="IJ38" s="42">
        <v>13.7</v>
      </c>
      <c r="IO38" s="40"/>
      <c r="IP38" s="42"/>
      <c r="IU38" s="40"/>
      <c r="IV38" s="42"/>
      <c r="JI38" s="40"/>
      <c r="JJ38" s="42"/>
      <c r="JN38" s="40"/>
      <c r="JO38" s="42">
        <v>13.88</v>
      </c>
      <c r="JS38" s="40"/>
      <c r="JT38" s="42">
        <v>13.7</v>
      </c>
      <c r="JX38" s="40"/>
      <c r="JY38" s="42">
        <v>13.8</v>
      </c>
      <c r="KA38" s="40"/>
      <c r="KB38" s="42"/>
      <c r="KF38" s="40"/>
      <c r="KG38" s="42">
        <v>13.66</v>
      </c>
    </row>
    <row r="39" spans="1:293" x14ac:dyDescent="0.25">
      <c r="A39" s="22"/>
      <c r="B39" s="23" t="s">
        <v>68</v>
      </c>
      <c r="C39" s="78">
        <f t="shared" si="8"/>
        <v>0.4</v>
      </c>
      <c r="D39" s="36">
        <f>(13.59+13.67)/2</f>
        <v>13.629999999999999</v>
      </c>
      <c r="E39" s="24">
        <f t="shared" si="1"/>
        <v>13.229999999999999</v>
      </c>
      <c r="F39" s="24">
        <f>(13.61+13.63+13.6+13.62+13.61)/5</f>
        <v>13.613999999999999</v>
      </c>
      <c r="G39" s="24">
        <f t="shared" si="9"/>
        <v>-0.38400000000000034</v>
      </c>
      <c r="H39" s="23">
        <v>73.78</v>
      </c>
      <c r="I39" s="25">
        <f t="shared" si="7"/>
        <v>-28.331520000000026</v>
      </c>
      <c r="L39" s="40"/>
      <c r="M39" s="42">
        <v>13.56</v>
      </c>
      <c r="S39" s="40"/>
      <c r="T39" s="41">
        <v>13.58</v>
      </c>
      <c r="U39" s="41">
        <v>13.47</v>
      </c>
      <c r="V39" s="42">
        <v>13.56</v>
      </c>
      <c r="AJ39" s="40"/>
      <c r="AK39" s="41">
        <v>13.6</v>
      </c>
      <c r="AL39" s="42"/>
      <c r="AS39" s="40"/>
      <c r="AT39" s="41">
        <v>13.65</v>
      </c>
      <c r="AU39" s="42"/>
      <c r="BD39" s="40"/>
      <c r="BE39" s="42">
        <v>13.57</v>
      </c>
      <c r="BK39" s="40"/>
      <c r="BL39" s="41">
        <v>13.37</v>
      </c>
      <c r="BM39" s="42">
        <v>13.52</v>
      </c>
      <c r="BY39" s="40"/>
      <c r="BZ39" s="42">
        <v>13.52</v>
      </c>
      <c r="CE39" s="40"/>
      <c r="CF39" s="42">
        <v>13.59</v>
      </c>
      <c r="CJ39" s="40"/>
      <c r="CK39" s="41">
        <v>13.78</v>
      </c>
      <c r="CL39" s="42">
        <v>13.85</v>
      </c>
      <c r="CQ39" s="40"/>
      <c r="CR39" s="42">
        <v>13.75</v>
      </c>
      <c r="CV39" s="40"/>
      <c r="CW39" s="42"/>
      <c r="CY39" s="40"/>
      <c r="CZ39" s="42">
        <v>13.78</v>
      </c>
      <c r="DD39" s="40"/>
      <c r="DE39" s="41">
        <v>13.67</v>
      </c>
      <c r="DF39" s="42"/>
      <c r="DJ39" s="40"/>
      <c r="DK39" s="42">
        <v>13.75</v>
      </c>
      <c r="DO39" s="40"/>
      <c r="DP39" s="41">
        <v>13.7</v>
      </c>
      <c r="DQ39" s="42"/>
      <c r="DV39" s="40"/>
      <c r="DW39" s="42">
        <v>13.75</v>
      </c>
      <c r="EA39" s="40"/>
      <c r="EB39" s="41">
        <v>13.7</v>
      </c>
      <c r="EC39" s="42"/>
      <c r="EP39" s="40"/>
      <c r="EQ39" s="42">
        <v>13.78</v>
      </c>
      <c r="ES39" s="40"/>
      <c r="ET39" s="42"/>
      <c r="FM39" s="40"/>
      <c r="FN39" s="42">
        <v>13.73</v>
      </c>
      <c r="FU39" s="40"/>
      <c r="FV39" s="41">
        <v>13.85</v>
      </c>
      <c r="FW39" s="42"/>
      <c r="FY39" s="40"/>
      <c r="FZ39" s="41">
        <v>13.75</v>
      </c>
      <c r="GA39" s="42"/>
      <c r="GC39" s="40"/>
      <c r="GD39" s="42"/>
      <c r="GH39" s="40"/>
      <c r="GI39" s="42"/>
      <c r="GK39" s="40"/>
      <c r="GL39" s="42"/>
      <c r="GO39" s="40"/>
      <c r="GP39" s="42"/>
      <c r="GS39" s="40"/>
      <c r="GT39" s="42">
        <v>13.8</v>
      </c>
      <c r="GX39" s="40"/>
      <c r="GY39" s="42"/>
      <c r="HC39" s="40"/>
      <c r="HD39" s="42"/>
      <c r="HG39" s="40"/>
      <c r="HH39" s="42"/>
      <c r="HN39" s="40"/>
      <c r="HO39" s="42"/>
      <c r="HT39" s="40"/>
      <c r="HU39" s="42"/>
      <c r="HZ39" s="40"/>
      <c r="IA39" s="42"/>
      <c r="IE39" s="40"/>
      <c r="IF39" s="42"/>
      <c r="II39" s="40"/>
      <c r="IJ39" s="42"/>
      <c r="IO39" s="40"/>
      <c r="IP39" s="42"/>
      <c r="IU39" s="40"/>
      <c r="IV39" s="42"/>
      <c r="JI39" s="40"/>
      <c r="JJ39" s="42"/>
      <c r="JN39" s="40"/>
      <c r="JO39" s="42">
        <v>13.88</v>
      </c>
      <c r="JS39" s="40"/>
      <c r="JT39" s="42">
        <v>13.73</v>
      </c>
      <c r="JX39" s="40"/>
      <c r="JY39" s="42"/>
      <c r="KA39" s="40"/>
      <c r="KB39" s="42"/>
      <c r="KF39" s="40"/>
      <c r="KG39" s="42">
        <v>13.66</v>
      </c>
    </row>
    <row r="40" spans="1:293" x14ac:dyDescent="0.25">
      <c r="A40" s="22"/>
      <c r="B40" s="23" t="s">
        <v>68</v>
      </c>
      <c r="C40" s="78">
        <f t="shared" si="8"/>
        <v>0.4</v>
      </c>
      <c r="D40" s="36">
        <v>13.7</v>
      </c>
      <c r="E40" s="24">
        <f t="shared" si="1"/>
        <v>13.299999999999999</v>
      </c>
      <c r="F40" s="24">
        <v>13.35</v>
      </c>
      <c r="G40" s="24">
        <f t="shared" si="9"/>
        <v>-5.0000000000000711E-2</v>
      </c>
      <c r="H40" s="23">
        <v>12.91</v>
      </c>
      <c r="I40" s="25">
        <f t="shared" si="7"/>
        <v>-0.64550000000000918</v>
      </c>
      <c r="L40" s="40"/>
      <c r="M40" s="42">
        <v>13.46</v>
      </c>
      <c r="S40" s="40"/>
      <c r="T40" s="41">
        <v>13.56</v>
      </c>
      <c r="U40" s="41">
        <v>13.52</v>
      </c>
      <c r="V40" s="42">
        <v>13.61</v>
      </c>
      <c r="AJ40" s="40"/>
      <c r="AK40" s="41">
        <v>13.57</v>
      </c>
      <c r="AL40" s="42"/>
      <c r="AS40" s="40"/>
      <c r="AT40" s="41">
        <v>13.6</v>
      </c>
      <c r="AU40" s="42"/>
      <c r="BD40" s="40"/>
      <c r="BE40" s="42">
        <v>13.52</v>
      </c>
      <c r="BK40" s="40"/>
      <c r="BL40" s="41">
        <v>13.5</v>
      </c>
      <c r="BM40" s="42">
        <v>13.47</v>
      </c>
      <c r="BY40" s="40"/>
      <c r="BZ40" s="42">
        <v>13.47</v>
      </c>
      <c r="CE40" s="40"/>
      <c r="CF40" s="42">
        <v>13.53</v>
      </c>
      <c r="CJ40" s="40"/>
      <c r="CK40" s="41">
        <v>13.75</v>
      </c>
      <c r="CL40" s="42">
        <v>13.78</v>
      </c>
      <c r="CQ40" s="40"/>
      <c r="CR40" s="42">
        <v>13.78</v>
      </c>
      <c r="CV40" s="40"/>
      <c r="CW40" s="42"/>
      <c r="CY40" s="40"/>
      <c r="CZ40" s="42">
        <v>13.75</v>
      </c>
      <c r="DD40" s="40"/>
      <c r="DE40" s="41">
        <v>13.7</v>
      </c>
      <c r="DF40" s="42"/>
      <c r="DJ40" s="40"/>
      <c r="DK40" s="42">
        <v>13.7</v>
      </c>
      <c r="DO40" s="40"/>
      <c r="DP40" s="41">
        <v>13.67</v>
      </c>
      <c r="DQ40" s="42"/>
      <c r="DV40" s="40"/>
      <c r="DW40" s="42">
        <v>13.67</v>
      </c>
      <c r="EA40" s="40"/>
      <c r="EB40" s="41">
        <v>13.67</v>
      </c>
      <c r="EC40" s="42"/>
      <c r="EP40" s="40"/>
      <c r="EQ40" s="42"/>
      <c r="ES40" s="40"/>
      <c r="ET40" s="42"/>
      <c r="FM40" s="40"/>
      <c r="FN40" s="42"/>
      <c r="FU40" s="40"/>
      <c r="FV40" s="41">
        <v>13.72</v>
      </c>
      <c r="FW40" s="42"/>
      <c r="FY40" s="40"/>
      <c r="FZ40" s="41">
        <v>13.65</v>
      </c>
      <c r="GA40" s="42"/>
      <c r="GC40" s="40"/>
      <c r="GD40" s="42"/>
      <c r="GH40" s="40"/>
      <c r="GI40" s="42"/>
      <c r="GK40" s="40"/>
      <c r="GL40" s="42"/>
      <c r="GO40" s="40"/>
      <c r="GP40" s="42"/>
      <c r="GS40" s="40"/>
      <c r="GT40" s="42">
        <v>13.77</v>
      </c>
      <c r="GX40" s="40"/>
      <c r="GY40" s="42"/>
      <c r="HC40" s="40"/>
      <c r="HD40" s="42"/>
      <c r="HG40" s="40"/>
      <c r="HH40" s="42"/>
      <c r="HN40" s="40"/>
      <c r="HO40" s="42"/>
      <c r="HT40" s="40"/>
      <c r="HU40" s="42"/>
      <c r="HZ40" s="40"/>
      <c r="IA40" s="42"/>
      <c r="IE40" s="40"/>
      <c r="IF40" s="42"/>
      <c r="II40" s="40"/>
      <c r="IJ40" s="42"/>
      <c r="IO40" s="40"/>
      <c r="IP40" s="42"/>
      <c r="IU40" s="40"/>
      <c r="IV40" s="42"/>
      <c r="JI40" s="40"/>
      <c r="JJ40" s="42"/>
      <c r="JN40" s="40"/>
      <c r="JO40" s="42">
        <v>13.65</v>
      </c>
      <c r="JS40" s="40"/>
      <c r="JT40" s="42"/>
      <c r="JX40" s="40"/>
      <c r="JY40" s="42"/>
      <c r="KA40" s="40"/>
      <c r="KB40" s="42"/>
      <c r="KF40" s="40"/>
      <c r="KG40" s="42">
        <v>13.71</v>
      </c>
    </row>
    <row r="41" spans="1:293" x14ac:dyDescent="0.25">
      <c r="A41" s="22"/>
      <c r="B41" s="23"/>
      <c r="C41" s="28"/>
      <c r="D41" s="36"/>
      <c r="E41" s="24"/>
      <c r="F41" s="24"/>
      <c r="G41" s="24"/>
      <c r="H41" s="23"/>
      <c r="I41" s="25">
        <f t="shared" si="7"/>
        <v>0</v>
      </c>
      <c r="L41" s="40"/>
      <c r="M41" s="42"/>
      <c r="S41" s="40"/>
      <c r="T41" s="41">
        <v>13.5</v>
      </c>
      <c r="U41" s="41">
        <v>13.42</v>
      </c>
      <c r="V41" s="42">
        <v>13.56</v>
      </c>
      <c r="AJ41" s="40"/>
      <c r="AK41" s="41">
        <v>13.55</v>
      </c>
      <c r="AL41" s="42"/>
      <c r="AS41" s="40"/>
      <c r="AT41" s="41">
        <v>13.65</v>
      </c>
      <c r="AU41" s="42"/>
      <c r="BD41" s="40"/>
      <c r="BE41" s="42">
        <v>13.63</v>
      </c>
      <c r="BK41" s="40"/>
      <c r="BL41" s="41">
        <v>13.52</v>
      </c>
      <c r="BM41" s="42">
        <v>13.51</v>
      </c>
      <c r="BY41" s="40"/>
      <c r="BZ41" s="42">
        <v>13.52</v>
      </c>
      <c r="CE41" s="40"/>
      <c r="CF41" s="42"/>
      <c r="CJ41" s="40"/>
      <c r="CK41" s="41">
        <v>13.78</v>
      </c>
      <c r="CL41" s="42">
        <v>13.75</v>
      </c>
      <c r="CQ41" s="40"/>
      <c r="CR41" s="42">
        <v>13.75</v>
      </c>
      <c r="CV41" s="40"/>
      <c r="CW41" s="42"/>
      <c r="CY41" s="40"/>
      <c r="CZ41" s="42">
        <v>13.85</v>
      </c>
      <c r="DD41" s="40"/>
      <c r="DE41" s="41">
        <v>13.67</v>
      </c>
      <c r="DF41" s="42"/>
      <c r="DJ41" s="40"/>
      <c r="DK41" s="42">
        <v>13.7</v>
      </c>
      <c r="DO41" s="40"/>
      <c r="DP41" s="41">
        <v>13.75</v>
      </c>
      <c r="DQ41" s="42"/>
      <c r="DV41" s="40"/>
      <c r="DW41" s="42">
        <v>13.7</v>
      </c>
      <c r="EA41" s="40"/>
      <c r="EB41" s="41">
        <v>13.7</v>
      </c>
      <c r="EC41" s="42"/>
      <c r="EP41" s="40"/>
      <c r="EQ41" s="42"/>
      <c r="ES41" s="40"/>
      <c r="ET41" s="42"/>
      <c r="FM41" s="40"/>
      <c r="FN41" s="42"/>
      <c r="FU41" s="40"/>
      <c r="FV41" s="41">
        <v>13.85</v>
      </c>
      <c r="FW41" s="42"/>
      <c r="FY41" s="40"/>
      <c r="FZ41" s="41">
        <v>13.75</v>
      </c>
      <c r="GA41" s="42"/>
      <c r="GC41" s="40"/>
      <c r="GD41" s="42"/>
      <c r="GH41" s="40"/>
      <c r="GI41" s="42"/>
      <c r="GK41" s="40"/>
      <c r="GL41" s="42"/>
      <c r="GO41" s="40"/>
      <c r="GP41" s="42"/>
      <c r="GS41" s="40"/>
      <c r="GT41" s="42"/>
      <c r="GX41" s="40"/>
      <c r="GY41" s="42"/>
      <c r="HC41" s="40"/>
      <c r="HD41" s="42"/>
      <c r="HG41" s="40"/>
      <c r="HH41" s="42"/>
      <c r="HN41" s="40"/>
      <c r="HO41" s="42"/>
      <c r="HT41" s="40"/>
      <c r="HU41" s="42"/>
      <c r="HZ41" s="40"/>
      <c r="IA41" s="42"/>
      <c r="IE41" s="40"/>
      <c r="IF41" s="42"/>
      <c r="II41" s="40"/>
      <c r="IJ41" s="42"/>
      <c r="IO41" s="40"/>
      <c r="IP41" s="42"/>
      <c r="IU41" s="40"/>
      <c r="IV41" s="42"/>
      <c r="JI41" s="40"/>
      <c r="JJ41" s="42"/>
      <c r="JN41" s="40"/>
      <c r="JO41" s="42"/>
      <c r="JS41" s="40"/>
      <c r="JT41" s="42"/>
      <c r="JX41" s="40"/>
      <c r="JY41" s="42"/>
      <c r="KA41" s="40"/>
      <c r="KB41" s="42"/>
      <c r="KF41" s="40"/>
      <c r="KG41" s="42">
        <v>13.7</v>
      </c>
    </row>
    <row r="42" spans="1:293" x14ac:dyDescent="0.25">
      <c r="A42" s="22" t="s">
        <v>25</v>
      </c>
      <c r="B42" s="23" t="s">
        <v>65</v>
      </c>
      <c r="C42" s="78">
        <f>0.015+0.05+0.15+0.2</f>
        <v>0.41500000000000004</v>
      </c>
      <c r="D42" s="36">
        <f>(13.85+13.7+13.77+13.87)/4</f>
        <v>13.797499999999998</v>
      </c>
      <c r="E42" s="24">
        <f t="shared" ref="E42" si="10">D42-C42</f>
        <v>13.382499999999997</v>
      </c>
      <c r="F42" s="24">
        <f>FG23</f>
        <v>13.835599999999998</v>
      </c>
      <c r="G42" s="24">
        <f>E42-F42</f>
        <v>-0.45310000000000095</v>
      </c>
      <c r="H42" s="23">
        <v>312.63</v>
      </c>
      <c r="I42" s="25">
        <f t="shared" si="7"/>
        <v>-141.6526530000003</v>
      </c>
      <c r="L42" s="40"/>
      <c r="M42" s="42"/>
      <c r="S42" s="40"/>
      <c r="T42" s="41">
        <v>13.52</v>
      </c>
      <c r="U42" s="41">
        <v>13.37</v>
      </c>
      <c r="V42" s="42">
        <v>13.41</v>
      </c>
      <c r="AJ42" s="40"/>
      <c r="AK42" s="41">
        <v>13.6</v>
      </c>
      <c r="AL42" s="42"/>
      <c r="AS42" s="40"/>
      <c r="AT42" s="41">
        <v>13.62</v>
      </c>
      <c r="AU42" s="42"/>
      <c r="BD42" s="40"/>
      <c r="BE42" s="42"/>
      <c r="BK42" s="40"/>
      <c r="BL42" s="41">
        <v>13.47</v>
      </c>
      <c r="BM42" s="42">
        <v>13.51</v>
      </c>
      <c r="BY42" s="40"/>
      <c r="BZ42" s="42"/>
      <c r="CE42" s="40"/>
      <c r="CF42" s="42"/>
      <c r="CJ42" s="40"/>
      <c r="CK42" s="41">
        <v>13.85</v>
      </c>
      <c r="CL42" s="42">
        <v>13.78</v>
      </c>
      <c r="CQ42" s="40"/>
      <c r="CR42" s="42">
        <v>13.7</v>
      </c>
      <c r="CV42" s="40"/>
      <c r="CW42" s="42"/>
      <c r="CY42" s="40"/>
      <c r="CZ42" s="42">
        <v>13.78</v>
      </c>
      <c r="DD42" s="40"/>
      <c r="DE42" s="41">
        <v>13.75</v>
      </c>
      <c r="DF42" s="42"/>
      <c r="DJ42" s="40"/>
      <c r="DK42" s="42">
        <v>13.67</v>
      </c>
      <c r="DO42" s="40"/>
      <c r="DP42" s="41">
        <v>13.75</v>
      </c>
      <c r="DQ42" s="42"/>
      <c r="DV42" s="40"/>
      <c r="DW42" s="42">
        <v>13.75</v>
      </c>
      <c r="EA42" s="40"/>
      <c r="EB42" s="41">
        <v>13.67</v>
      </c>
      <c r="EC42" s="42"/>
      <c r="EP42" s="40"/>
      <c r="EQ42" s="42"/>
      <c r="ES42" s="40"/>
      <c r="ET42" s="42"/>
      <c r="FM42" s="40"/>
      <c r="FN42" s="42"/>
      <c r="FU42" s="40"/>
      <c r="FV42" s="41">
        <v>13.75</v>
      </c>
      <c r="FW42" s="42"/>
      <c r="FY42" s="40"/>
      <c r="FZ42" s="41">
        <v>13.61</v>
      </c>
      <c r="GA42" s="42"/>
      <c r="GC42" s="40"/>
      <c r="GD42" s="42"/>
      <c r="GH42" s="40"/>
      <c r="GI42" s="42"/>
      <c r="GK42" s="40"/>
      <c r="GL42" s="42"/>
      <c r="GO42" s="40"/>
      <c r="GP42" s="42"/>
      <c r="GS42" s="40"/>
      <c r="GT42" s="42"/>
      <c r="GX42" s="40"/>
      <c r="GY42" s="42"/>
      <c r="HC42" s="40"/>
      <c r="HD42" s="42"/>
      <c r="HG42" s="40"/>
      <c r="HH42" s="42"/>
      <c r="HN42" s="40"/>
      <c r="HO42" s="42"/>
      <c r="HT42" s="40"/>
      <c r="HU42" s="42"/>
      <c r="HZ42" s="40"/>
      <c r="IA42" s="42"/>
      <c r="IE42" s="40"/>
      <c r="IF42" s="42"/>
      <c r="II42" s="40"/>
      <c r="IJ42" s="42"/>
      <c r="IO42" s="40"/>
      <c r="IP42" s="42"/>
      <c r="IU42" s="40"/>
      <c r="IV42" s="42"/>
      <c r="JI42" s="40"/>
      <c r="JJ42" s="42"/>
      <c r="JN42" s="40"/>
      <c r="JO42" s="42"/>
      <c r="JS42" s="40"/>
      <c r="JT42" s="42"/>
      <c r="JX42" s="40"/>
      <c r="JY42" s="42"/>
      <c r="KA42" s="40"/>
      <c r="KB42" s="42"/>
      <c r="KF42" s="40"/>
      <c r="KG42" s="42"/>
    </row>
    <row r="43" spans="1:293" x14ac:dyDescent="0.25">
      <c r="A43" s="22"/>
      <c r="B43" s="23" t="s">
        <v>65</v>
      </c>
      <c r="C43" s="78">
        <f>0.015+0.05+0.15+0.2</f>
        <v>0.41500000000000004</v>
      </c>
      <c r="D43" s="36">
        <f>(13.75+13.67+13.59+13.77)/4</f>
        <v>13.695</v>
      </c>
      <c r="E43" s="24">
        <f t="shared" ref="E43:E53" si="11">D43-C43</f>
        <v>13.280000000000001</v>
      </c>
      <c r="F43" s="24">
        <f>FK23</f>
        <v>13.59939393939394</v>
      </c>
      <c r="G43" s="24">
        <f>E43-F43</f>
        <v>-0.31939393939393845</v>
      </c>
      <c r="H43" s="23">
        <v>312.56</v>
      </c>
      <c r="I43" s="25">
        <f t="shared" si="7"/>
        <v>-99.829769696969407</v>
      </c>
      <c r="L43" s="40"/>
      <c r="M43" s="42"/>
      <c r="S43" s="40"/>
      <c r="T43" s="41">
        <v>13.52</v>
      </c>
      <c r="U43" s="41">
        <v>13.52</v>
      </c>
      <c r="V43" s="42">
        <v>13.36</v>
      </c>
      <c r="AJ43" s="40"/>
      <c r="AK43" s="41">
        <v>13.47</v>
      </c>
      <c r="AL43" s="42"/>
      <c r="AS43" s="40"/>
      <c r="AT43" s="41">
        <v>13.5</v>
      </c>
      <c r="AU43" s="42"/>
      <c r="BD43" s="40"/>
      <c r="BE43" s="42"/>
      <c r="BK43" s="40"/>
      <c r="BL43" s="41">
        <v>13.52</v>
      </c>
      <c r="BM43" s="42">
        <v>13.47</v>
      </c>
      <c r="BY43" s="40"/>
      <c r="BZ43" s="42"/>
      <c r="CE43" s="40"/>
      <c r="CF43" s="42"/>
      <c r="CJ43" s="40"/>
      <c r="CK43" s="41">
        <v>13.85</v>
      </c>
      <c r="CL43" s="42">
        <v>13.85</v>
      </c>
      <c r="CQ43" s="40"/>
      <c r="CR43" s="42">
        <v>13.73</v>
      </c>
      <c r="CV43" s="40"/>
      <c r="CW43" s="42"/>
      <c r="CY43" s="40"/>
      <c r="CZ43" s="42">
        <v>13.75</v>
      </c>
      <c r="DD43" s="40"/>
      <c r="DE43" s="41">
        <v>13.7</v>
      </c>
      <c r="DF43" s="42"/>
      <c r="DJ43" s="40"/>
      <c r="DK43" s="42">
        <v>13.67</v>
      </c>
      <c r="DO43" s="40"/>
      <c r="DP43" s="41">
        <v>13.7</v>
      </c>
      <c r="DQ43" s="42"/>
      <c r="DV43" s="40"/>
      <c r="DW43" s="42">
        <v>13.67</v>
      </c>
      <c r="EA43" s="40"/>
      <c r="EB43" s="41">
        <v>13.75</v>
      </c>
      <c r="EC43" s="42"/>
      <c r="EP43" s="40"/>
      <c r="EQ43" s="42"/>
      <c r="ES43" s="40"/>
      <c r="ET43" s="42"/>
      <c r="FM43" s="40"/>
      <c r="FN43" s="42"/>
      <c r="FU43" s="40"/>
      <c r="FV43" s="41">
        <v>13.85</v>
      </c>
      <c r="FW43" s="42"/>
      <c r="FY43" s="40"/>
      <c r="FZ43" s="41">
        <v>13.75</v>
      </c>
      <c r="GA43" s="42"/>
      <c r="GC43" s="40"/>
      <c r="GD43" s="42"/>
      <c r="GH43" s="40"/>
      <c r="GI43" s="42"/>
      <c r="GK43" s="40"/>
      <c r="GL43" s="42"/>
      <c r="GO43" s="40"/>
      <c r="GP43" s="42"/>
      <c r="GS43" s="40"/>
      <c r="GT43" s="42"/>
      <c r="GX43" s="40"/>
      <c r="GY43" s="42"/>
      <c r="HC43" s="40"/>
      <c r="HD43" s="42"/>
      <c r="HG43" s="40"/>
      <c r="HH43" s="42"/>
      <c r="HN43" s="40"/>
      <c r="HO43" s="42"/>
      <c r="HT43" s="40"/>
      <c r="HU43" s="42"/>
      <c r="HZ43" s="40"/>
      <c r="IA43" s="42"/>
      <c r="IE43" s="40"/>
      <c r="IF43" s="42"/>
      <c r="II43" s="40"/>
      <c r="IJ43" s="42"/>
      <c r="IO43" s="40"/>
      <c r="IP43" s="42"/>
      <c r="IU43" s="40"/>
      <c r="IV43" s="42"/>
      <c r="JI43" s="40"/>
      <c r="JJ43" s="42"/>
      <c r="JN43" s="40"/>
      <c r="JO43" s="42"/>
      <c r="JS43" s="40"/>
      <c r="JT43" s="42"/>
      <c r="JX43" s="40"/>
      <c r="JY43" s="42"/>
      <c r="KA43" s="40"/>
      <c r="KB43" s="42"/>
      <c r="KF43" s="40"/>
      <c r="KG43" s="42"/>
    </row>
    <row r="44" spans="1:293" x14ac:dyDescent="0.25">
      <c r="A44" s="22"/>
      <c r="B44" s="23"/>
      <c r="C44" s="28"/>
      <c r="D44" s="36"/>
      <c r="E44" s="24"/>
      <c r="F44" s="24"/>
      <c r="G44" s="24"/>
      <c r="H44" s="23"/>
      <c r="I44" s="25">
        <f t="shared" si="7"/>
        <v>0</v>
      </c>
      <c r="L44" s="40"/>
      <c r="M44" s="42"/>
      <c r="S44" s="40"/>
      <c r="T44" s="41">
        <v>13.52</v>
      </c>
      <c r="U44" s="41">
        <v>13.52</v>
      </c>
      <c r="V44" s="42">
        <v>13.38</v>
      </c>
      <c r="AJ44" s="40"/>
      <c r="AK44" s="41">
        <v>13.45</v>
      </c>
      <c r="AL44" s="42"/>
      <c r="AS44" s="40"/>
      <c r="AT44" s="41">
        <v>13.6</v>
      </c>
      <c r="AU44" s="42"/>
      <c r="BD44" s="40"/>
      <c r="BE44" s="42"/>
      <c r="BK44" s="40"/>
      <c r="BL44" s="41">
        <v>13.5</v>
      </c>
      <c r="BM44" s="42">
        <v>13.35</v>
      </c>
      <c r="BY44" s="40"/>
      <c r="BZ44" s="42"/>
      <c r="CE44" s="40"/>
      <c r="CF44" s="42"/>
      <c r="CJ44" s="40"/>
      <c r="CK44" s="41">
        <v>13.75</v>
      </c>
      <c r="CL44" s="42">
        <v>13.75</v>
      </c>
      <c r="CQ44" s="40"/>
      <c r="CR44" s="42">
        <v>13.65</v>
      </c>
      <c r="CV44" s="40"/>
      <c r="CW44" s="42"/>
      <c r="CY44" s="40"/>
      <c r="CZ44" s="42">
        <v>13.75</v>
      </c>
      <c r="DD44" s="40"/>
      <c r="DE44" s="41">
        <v>13.67</v>
      </c>
      <c r="DF44" s="42"/>
      <c r="DJ44" s="40"/>
      <c r="DK44" s="42"/>
      <c r="DO44" s="40"/>
      <c r="DP44" s="41">
        <v>13.67</v>
      </c>
      <c r="DQ44" s="42"/>
      <c r="DV44" s="40"/>
      <c r="DW44" s="42">
        <v>13.7</v>
      </c>
      <c r="EA44" s="40"/>
      <c r="EB44" s="41">
        <v>13.7</v>
      </c>
      <c r="EC44" s="42"/>
      <c r="EP44" s="40"/>
      <c r="EQ44" s="42"/>
      <c r="ES44" s="40"/>
      <c r="ET44" s="42"/>
      <c r="FM44" s="40"/>
      <c r="FN44" s="42"/>
      <c r="FU44" s="40"/>
      <c r="FV44" s="41">
        <v>13.78</v>
      </c>
      <c r="FW44" s="42"/>
      <c r="FY44" s="40"/>
      <c r="FZ44" s="41">
        <v>13.64</v>
      </c>
      <c r="GA44" s="42"/>
      <c r="GC44" s="40"/>
      <c r="GD44" s="42"/>
      <c r="GH44" s="40"/>
      <c r="GI44" s="42"/>
      <c r="GK44" s="40"/>
      <c r="GL44" s="42"/>
      <c r="GO44" s="40"/>
      <c r="GP44" s="42"/>
      <c r="GS44" s="40"/>
      <c r="GT44" s="42"/>
      <c r="GX44" s="40"/>
      <c r="GY44" s="42"/>
      <c r="HC44" s="40"/>
      <c r="HD44" s="42"/>
      <c r="HG44" s="40"/>
      <c r="HH44" s="42"/>
      <c r="HN44" s="40"/>
      <c r="HO44" s="42"/>
      <c r="HT44" s="40"/>
      <c r="HU44" s="42"/>
      <c r="HZ44" s="40"/>
      <c r="IA44" s="42"/>
      <c r="IE44" s="40"/>
      <c r="IF44" s="42"/>
      <c r="II44" s="40"/>
      <c r="IJ44" s="42"/>
      <c r="IO44" s="40"/>
      <c r="IP44" s="42"/>
      <c r="IU44" s="40"/>
      <c r="IV44" s="42"/>
      <c r="JI44" s="40"/>
      <c r="JJ44" s="42"/>
      <c r="JN44" s="40"/>
      <c r="JO44" s="42"/>
      <c r="JS44" s="40"/>
      <c r="JT44" s="42"/>
      <c r="JX44" s="40"/>
      <c r="JY44" s="42"/>
      <c r="KA44" s="40"/>
      <c r="KB44" s="42"/>
      <c r="KF44" s="40"/>
      <c r="KG44" s="42"/>
    </row>
    <row r="45" spans="1:293" x14ac:dyDescent="0.25">
      <c r="A45" s="22" t="s">
        <v>20</v>
      </c>
      <c r="B45" s="23" t="s">
        <v>67</v>
      </c>
      <c r="C45" s="28">
        <f>0.03+0.04+0.2+0.3</f>
        <v>0.57000000000000006</v>
      </c>
      <c r="D45" s="36">
        <f>FN47</f>
        <v>13.759230769230767</v>
      </c>
      <c r="E45" s="24">
        <f t="shared" si="11"/>
        <v>13.189230769230766</v>
      </c>
      <c r="F45" s="24">
        <f>FS23</f>
        <v>13.618476190476191</v>
      </c>
      <c r="G45" s="24">
        <f>E45-F45</f>
        <v>-0.4292454212454242</v>
      </c>
      <c r="H45" s="23">
        <f>589.81</f>
        <v>589.80999999999995</v>
      </c>
      <c r="I45" s="25">
        <f t="shared" si="7"/>
        <v>-253.17324190476361</v>
      </c>
      <c r="L45" s="40"/>
      <c r="M45" s="42"/>
      <c r="S45" s="40"/>
      <c r="T45" s="41">
        <v>13.47</v>
      </c>
      <c r="U45" s="41">
        <v>13.47</v>
      </c>
      <c r="V45" s="42">
        <v>13.44</v>
      </c>
      <c r="AJ45" s="40"/>
      <c r="AK45" s="41">
        <v>13.5</v>
      </c>
      <c r="AL45" s="42"/>
      <c r="AS45" s="40"/>
      <c r="AT45" s="41">
        <v>13.65</v>
      </c>
      <c r="AU45" s="42"/>
      <c r="BD45" s="40"/>
      <c r="BE45" s="42"/>
      <c r="BK45" s="40"/>
      <c r="BL45" s="41">
        <v>13.37</v>
      </c>
      <c r="BM45" s="42">
        <v>13.47</v>
      </c>
      <c r="BY45" s="40"/>
      <c r="BZ45" s="42"/>
      <c r="CE45" s="40"/>
      <c r="CF45" s="42"/>
      <c r="CJ45" s="40"/>
      <c r="CK45" s="41">
        <v>13.85</v>
      </c>
      <c r="CL45" s="42">
        <v>13.85</v>
      </c>
      <c r="CQ45" s="40"/>
      <c r="CR45" s="42">
        <v>13.57</v>
      </c>
      <c r="CV45" s="40"/>
      <c r="CW45" s="42"/>
      <c r="CY45" s="40"/>
      <c r="CZ45" s="42">
        <v>13.85</v>
      </c>
      <c r="DD45" s="40"/>
      <c r="DE45" s="41">
        <v>13.7</v>
      </c>
      <c r="DF45" s="42"/>
      <c r="DJ45" s="40"/>
      <c r="DK45" s="42"/>
      <c r="DO45" s="40"/>
      <c r="DP45" s="41">
        <v>13.7</v>
      </c>
      <c r="DQ45" s="42"/>
      <c r="DV45" s="40"/>
      <c r="DW45" s="42"/>
      <c r="EA45" s="40"/>
      <c r="EB45" s="41">
        <v>13.67</v>
      </c>
      <c r="EC45" s="42"/>
      <c r="EP45" s="40"/>
      <c r="EQ45" s="42"/>
      <c r="ES45" s="40"/>
      <c r="ET45" s="42"/>
      <c r="FM45" s="40"/>
      <c r="FN45" s="42"/>
      <c r="FU45" s="40"/>
      <c r="FV45" s="41">
        <v>13.72</v>
      </c>
      <c r="FW45" s="42"/>
      <c r="FY45" s="40"/>
      <c r="FZ45" s="41">
        <v>13.75</v>
      </c>
      <c r="GA45" s="42"/>
      <c r="GC45" s="40"/>
      <c r="GD45" s="42"/>
      <c r="GH45" s="40"/>
      <c r="GI45" s="42"/>
      <c r="GK45" s="40"/>
      <c r="GL45" s="42"/>
      <c r="GO45" s="40"/>
      <c r="GP45" s="42"/>
      <c r="GS45" s="40"/>
      <c r="GT45" s="42"/>
      <c r="GX45" s="40"/>
      <c r="GY45" s="42"/>
      <c r="HC45" s="40"/>
      <c r="HD45" s="42"/>
      <c r="HG45" s="40"/>
      <c r="HH45" s="42"/>
      <c r="HN45" s="40"/>
      <c r="HO45" s="42"/>
      <c r="HT45" s="40"/>
      <c r="HU45" s="42"/>
      <c r="HZ45" s="40"/>
      <c r="IA45" s="42"/>
      <c r="IE45" s="40"/>
      <c r="IF45" s="42"/>
      <c r="II45" s="40"/>
      <c r="IJ45" s="42"/>
      <c r="IO45" s="40"/>
      <c r="IP45" s="42"/>
      <c r="IU45" s="40"/>
      <c r="IV45" s="42"/>
      <c r="JI45" s="40"/>
      <c r="JJ45" s="42"/>
      <c r="JN45" s="40"/>
      <c r="JO45" s="42"/>
      <c r="JS45" s="40"/>
      <c r="JT45" s="42"/>
      <c r="JX45" s="40"/>
      <c r="JY45" s="42"/>
      <c r="KA45" s="40"/>
      <c r="KB45" s="42"/>
      <c r="KF45" s="40"/>
      <c r="KG45" s="42"/>
    </row>
    <row r="46" spans="1:293" ht="15.75" thickBot="1" x14ac:dyDescent="0.3">
      <c r="A46" s="22"/>
      <c r="B46" s="23" t="s">
        <v>67</v>
      </c>
      <c r="C46" s="28">
        <f>0.03+0.04+0.2+0.3</f>
        <v>0.57000000000000006</v>
      </c>
      <c r="D46" s="36">
        <f>(13.75+13.7)/2</f>
        <v>13.725</v>
      </c>
      <c r="E46" s="24">
        <f t="shared" si="11"/>
        <v>13.154999999999999</v>
      </c>
      <c r="F46" s="24">
        <f>(13.48+13.41+13.28+13.22)/4</f>
        <v>13.3475</v>
      </c>
      <c r="G46" s="24">
        <f>E46-F46</f>
        <v>-0.19250000000000078</v>
      </c>
      <c r="H46" s="23">
        <v>35.96</v>
      </c>
      <c r="I46" s="25">
        <f t="shared" si="7"/>
        <v>-6.9223000000000283</v>
      </c>
      <c r="L46" s="43"/>
      <c r="M46" s="45"/>
      <c r="S46" s="43"/>
      <c r="T46" s="44">
        <v>13.52</v>
      </c>
      <c r="U46" s="44">
        <v>13.52</v>
      </c>
      <c r="V46" s="45">
        <v>13.52</v>
      </c>
      <c r="AJ46" s="43"/>
      <c r="AK46" s="44">
        <v>13.65</v>
      </c>
      <c r="AL46" s="45"/>
      <c r="AS46" s="43"/>
      <c r="AT46" s="44">
        <v>13.6</v>
      </c>
      <c r="AU46" s="45"/>
      <c r="BD46" s="43"/>
      <c r="BE46" s="45"/>
      <c r="BK46" s="43"/>
      <c r="BL46" s="44">
        <v>13.42</v>
      </c>
      <c r="BM46" s="45">
        <v>13.52</v>
      </c>
      <c r="BY46" s="43"/>
      <c r="BZ46" s="45"/>
      <c r="CE46" s="43"/>
      <c r="CF46" s="45"/>
      <c r="CJ46" s="43"/>
      <c r="CK46" s="44">
        <v>13.85</v>
      </c>
      <c r="CL46" s="45"/>
      <c r="CQ46" s="43"/>
      <c r="CR46" s="45"/>
      <c r="CV46" s="43"/>
      <c r="CW46" s="45"/>
      <c r="CY46" s="43"/>
      <c r="CZ46" s="45">
        <v>13.78</v>
      </c>
      <c r="DD46" s="43"/>
      <c r="DE46" s="44">
        <v>13.7</v>
      </c>
      <c r="DF46" s="45"/>
      <c r="DJ46" s="43"/>
      <c r="DK46" s="45"/>
      <c r="DO46" s="43"/>
      <c r="DP46" s="44">
        <v>13.67</v>
      </c>
      <c r="DQ46" s="45"/>
      <c r="DV46" s="43"/>
      <c r="DW46" s="45"/>
      <c r="EA46" s="43"/>
      <c r="EB46" s="44">
        <v>13.7</v>
      </c>
      <c r="EC46" s="45"/>
      <c r="EP46" s="43"/>
      <c r="EQ46" s="45"/>
      <c r="ES46" s="43"/>
      <c r="ET46" s="45"/>
      <c r="FM46" s="43"/>
      <c r="FN46" s="45"/>
      <c r="FU46" s="43"/>
      <c r="FV46" s="44">
        <v>13.85</v>
      </c>
      <c r="FW46" s="45"/>
      <c r="FY46" s="43"/>
      <c r="FZ46" s="44">
        <v>13.74</v>
      </c>
      <c r="GA46" s="45"/>
      <c r="GC46" s="43"/>
      <c r="GD46" s="45"/>
      <c r="GH46" s="43"/>
      <c r="GI46" s="45"/>
      <c r="GK46" s="43"/>
      <c r="GL46" s="45"/>
      <c r="GO46" s="43"/>
      <c r="GP46" s="45"/>
      <c r="GS46" s="43"/>
      <c r="GT46" s="45"/>
      <c r="GX46" s="43"/>
      <c r="GY46" s="45"/>
      <c r="HC46" s="43"/>
      <c r="HD46" s="45"/>
      <c r="HG46" s="43"/>
      <c r="HH46" s="45"/>
      <c r="HN46" s="43"/>
      <c r="HO46" s="45"/>
      <c r="HT46" s="43"/>
      <c r="HU46" s="45"/>
      <c r="HZ46" s="43"/>
      <c r="IA46" s="45"/>
      <c r="IE46" s="43"/>
      <c r="IF46" s="45"/>
      <c r="II46" s="43"/>
      <c r="IJ46" s="45"/>
      <c r="IO46" s="43"/>
      <c r="IP46" s="45"/>
      <c r="IU46" s="43"/>
      <c r="IV46" s="45"/>
      <c r="JI46" s="43"/>
      <c r="JJ46" s="45"/>
      <c r="JN46" s="43"/>
      <c r="JO46" s="45"/>
      <c r="JS46" s="43"/>
      <c r="JT46" s="45"/>
      <c r="JX46" s="43"/>
      <c r="JY46" s="45"/>
      <c r="KA46" s="43"/>
      <c r="KB46" s="45"/>
      <c r="KF46" s="43"/>
      <c r="KG46" s="45"/>
    </row>
    <row r="47" spans="1:293" x14ac:dyDescent="0.25">
      <c r="A47" s="22"/>
      <c r="B47" s="23"/>
      <c r="C47" s="28"/>
      <c r="D47" s="36"/>
      <c r="E47" s="24"/>
      <c r="F47" s="24"/>
      <c r="G47" s="24"/>
      <c r="H47" s="23"/>
      <c r="I47" s="25">
        <f t="shared" si="7"/>
        <v>0</v>
      </c>
      <c r="M47" s="35">
        <f>SUM(M27:M46)/14</f>
        <v>13.577857142857143</v>
      </c>
      <c r="V47" s="35">
        <f>SUM(T27:V46)/60</f>
        <v>13.494499999999995</v>
      </c>
      <c r="AL47" s="35">
        <f>SUM(AK27:AL46)/24</f>
        <v>13.563333333333333</v>
      </c>
      <c r="AU47" s="35">
        <f>SUM(AT27:AU46)/27</f>
        <v>13.605555555555556</v>
      </c>
      <c r="BE47" s="35">
        <f>SUM(BE27:BE46)/15</f>
        <v>13.538666666666666</v>
      </c>
      <c r="BM47" s="35">
        <f>SUM(BL27:BM46)/40</f>
        <v>13.485250000000002</v>
      </c>
      <c r="BZ47" s="35">
        <f>SUM(BZ27:BZ46)/15</f>
        <v>13.464</v>
      </c>
      <c r="CF47" s="35">
        <f>SUM(CF27:CF46)/14</f>
        <v>13.507857142857146</v>
      </c>
      <c r="CL47" s="35">
        <f>SUM(CK27:CL46)/39</f>
        <v>13.81076923076923</v>
      </c>
      <c r="CR47" s="35">
        <f>SUM(CR27:CR46)/19</f>
        <v>13.760526315789473</v>
      </c>
      <c r="CW47" s="35">
        <f>SUM(CW27:CW46)/8</f>
        <v>13.824999999999998</v>
      </c>
      <c r="CZ47" s="35">
        <f>SUM(CZ27:CZ46)/20</f>
        <v>13.778999999999996</v>
      </c>
      <c r="DF47" s="35">
        <f>SUM(DE27:DF46)/27</f>
        <v>13.698148148148144</v>
      </c>
      <c r="DK47" s="35">
        <f>SUM(DK27:DK46)/17</f>
        <v>13.696470588235291</v>
      </c>
      <c r="DQ47" s="35">
        <f>SUM(DP27:DQ46)/25</f>
        <v>13.699999999999998</v>
      </c>
      <c r="DW47" s="35">
        <f>SUM(DW27:DW46)/18</f>
        <v>13.703888888888885</v>
      </c>
      <c r="EC47" s="35">
        <f>SUM(EB27:EC46)/27</f>
        <v>13.699999999999998</v>
      </c>
      <c r="EQ47" s="35">
        <f>SUM(EQ27:EQ46)/13</f>
        <v>13.765384615384615</v>
      </c>
      <c r="ET47" s="35">
        <f>SUM(ET27:ET46)/12</f>
        <v>13.6625</v>
      </c>
      <c r="FN47" s="35">
        <f>SUM(FN27:FN46)/13</f>
        <v>13.759230769230767</v>
      </c>
      <c r="FW47" s="35">
        <f>SUM(FV27:FW46)/23</f>
        <v>13.796086956521743</v>
      </c>
      <c r="GA47" s="35">
        <f>SUM(FZ27:GA46)/26</f>
        <v>13.697692307692307</v>
      </c>
      <c r="GD47" s="35">
        <f>SUM(GD27:GD46)/9</f>
        <v>13.735555555555557</v>
      </c>
      <c r="GI47" s="35">
        <f>SUM(GI27:GI46)/9</f>
        <v>13.722222222222221</v>
      </c>
      <c r="GL47" s="35">
        <f>SUM(GL27:GL46)/8</f>
        <v>13.63625</v>
      </c>
      <c r="GP47" s="35">
        <f>SUM(GP27:GP46)/8</f>
        <v>13.620000000000001</v>
      </c>
      <c r="GT47" s="35">
        <f>SUM(GT27:GT46)/14</f>
        <v>13.781428571428574</v>
      </c>
      <c r="GY47" s="35">
        <f>SUM(GY27:GY46)/10</f>
        <v>13.763</v>
      </c>
      <c r="HD47" s="35">
        <f>SUM(HD27:HD46)/5</f>
        <v>13.779999999999998</v>
      </c>
      <c r="HH47" s="35">
        <f>SUM(HH27:HH46)/10</f>
        <v>13.667000000000002</v>
      </c>
      <c r="HO47" s="35">
        <f>SUM(HO27:HO46)/11</f>
        <v>13.657272727272726</v>
      </c>
      <c r="HU47" s="35">
        <f>SUM(HU27:HU46)/7</f>
        <v>13.797142857142855</v>
      </c>
      <c r="IA47" s="35">
        <f>SUM(IA27:IA46)/8</f>
        <v>13.78</v>
      </c>
      <c r="IF47" s="35">
        <f>SUM(IF27:IF46)/5</f>
        <v>13.697999999999999</v>
      </c>
      <c r="IJ47" s="35">
        <f>SUM(IJ27:IJ46)/12</f>
        <v>13.665000000000001</v>
      </c>
      <c r="IP47" s="35">
        <f>SUM(IP27:IP46)/10</f>
        <v>13.7</v>
      </c>
      <c r="IV47" s="35">
        <f>SUM(IV27:IV46)/7</f>
        <v>13.700000000000001</v>
      </c>
      <c r="JJ47" s="35">
        <f>SUM(JJ27:JJ46)/11</f>
        <v>13.646363636363635</v>
      </c>
      <c r="JO47" s="35">
        <f>SUM(JO27:JO46)/14</f>
        <v>13.733571428571429</v>
      </c>
      <c r="JT47" s="35">
        <f>SUM(JT27:JT46)/13</f>
        <v>13.782307692307691</v>
      </c>
      <c r="JY47" s="35">
        <f>SUM(JY27:JY46)/12</f>
        <v>13.774166666666666</v>
      </c>
      <c r="KB47" s="35">
        <f>SUM(KB27:KB46)/9</f>
        <v>13.64</v>
      </c>
      <c r="KG47" s="35">
        <f>SUM(KG27:KG46)/15</f>
        <v>13.680666666666667</v>
      </c>
    </row>
    <row r="48" spans="1:293" x14ac:dyDescent="0.25">
      <c r="A48" s="22" t="s">
        <v>26</v>
      </c>
      <c r="B48" s="23" t="s">
        <v>70</v>
      </c>
      <c r="C48" s="79">
        <f>0.06+0.05+0.15+0.2</f>
        <v>0.46</v>
      </c>
      <c r="D48" s="36">
        <f>FW47</f>
        <v>13.796086956521743</v>
      </c>
      <c r="E48" s="24">
        <f t="shared" si="11"/>
        <v>13.336086956521742</v>
      </c>
      <c r="F48" s="24">
        <f>(13.45+13.3)/2</f>
        <v>13.375</v>
      </c>
      <c r="G48" s="24">
        <f>E48-F48</f>
        <v>-3.8913043478258302E-2</v>
      </c>
      <c r="H48" s="23">
        <f>380.76</f>
        <v>380.76</v>
      </c>
      <c r="I48" s="25">
        <f t="shared" si="7"/>
        <v>-14.816530434781631</v>
      </c>
    </row>
    <row r="49" spans="1:9" x14ac:dyDescent="0.25">
      <c r="A49" s="22"/>
      <c r="B49" s="23" t="s">
        <v>70</v>
      </c>
      <c r="C49" s="79">
        <f>0.06+0.05+0.15+0.2</f>
        <v>0.46</v>
      </c>
      <c r="D49" s="36">
        <f>GA47</f>
        <v>13.697692307692307</v>
      </c>
      <c r="E49" s="24">
        <f t="shared" si="11"/>
        <v>13.237692307692306</v>
      </c>
      <c r="F49" s="24">
        <v>13.35</v>
      </c>
      <c r="G49" s="24">
        <f t="shared" ref="G49:G51" si="12">E49-F49</f>
        <v>-0.11230769230769333</v>
      </c>
      <c r="H49" s="23">
        <f>433.89</f>
        <v>433.89</v>
      </c>
      <c r="I49" s="25">
        <f t="shared" si="7"/>
        <v>-48.729184615385059</v>
      </c>
    </row>
    <row r="50" spans="1:9" x14ac:dyDescent="0.25">
      <c r="A50" s="22"/>
      <c r="B50" s="23"/>
      <c r="C50" s="28"/>
      <c r="D50" s="36"/>
      <c r="E50" s="24"/>
      <c r="F50" s="24"/>
      <c r="G50" s="24"/>
      <c r="H50" s="23"/>
      <c r="I50" s="25">
        <f t="shared" si="7"/>
        <v>0</v>
      </c>
    </row>
    <row r="51" spans="1:9" x14ac:dyDescent="0.25">
      <c r="A51" s="22" t="s">
        <v>27</v>
      </c>
      <c r="B51" s="23" t="s">
        <v>67</v>
      </c>
      <c r="C51" s="71">
        <f>0.08+0.05+0.3+0.3</f>
        <v>0.73</v>
      </c>
      <c r="D51" s="36">
        <f>GD47</f>
        <v>13.735555555555557</v>
      </c>
      <c r="E51" s="24">
        <f t="shared" si="11"/>
        <v>13.005555555555556</v>
      </c>
      <c r="F51" s="24">
        <f>GF23</f>
        <v>13.890408163265304</v>
      </c>
      <c r="G51" s="24">
        <f t="shared" si="12"/>
        <v>-0.88485260770974783</v>
      </c>
      <c r="H51" s="23">
        <f>309.92</f>
        <v>309.92</v>
      </c>
      <c r="I51" s="25">
        <f t="shared" si="7"/>
        <v>-274.23352018140508</v>
      </c>
    </row>
    <row r="52" spans="1:9" x14ac:dyDescent="0.25">
      <c r="A52" s="22"/>
      <c r="B52" s="23" t="s">
        <v>67</v>
      </c>
      <c r="C52" s="71">
        <f>0.08+0.05+0.3+0.3</f>
        <v>0.73</v>
      </c>
      <c r="D52" s="36">
        <f>GI47</f>
        <v>13.722222222222221</v>
      </c>
      <c r="E52" s="24">
        <f t="shared" ref="E52:E71" si="13">D52-C52</f>
        <v>12.992222222222221</v>
      </c>
      <c r="F52" s="24">
        <f>GI23</f>
        <v>13.565555555555557</v>
      </c>
      <c r="G52" s="24">
        <f t="shared" ref="G52:G54" si="14">E52-F52</f>
        <v>-0.57333333333333591</v>
      </c>
      <c r="H52" s="23">
        <v>285.27999999999997</v>
      </c>
      <c r="I52" s="25">
        <f t="shared" si="7"/>
        <v>-163.56053333333406</v>
      </c>
    </row>
    <row r="53" spans="1:9" x14ac:dyDescent="0.25">
      <c r="A53" s="22"/>
      <c r="B53" s="23" t="s">
        <v>67</v>
      </c>
      <c r="C53" s="71">
        <f>0.08+0.05+0.3+0.3</f>
        <v>0.73</v>
      </c>
      <c r="D53" s="36">
        <f>GL47</f>
        <v>13.63625</v>
      </c>
      <c r="E53" s="24">
        <f t="shared" si="11"/>
        <v>12.90625</v>
      </c>
      <c r="F53" s="24">
        <f>GM23</f>
        <v>13.605555555555558</v>
      </c>
      <c r="G53" s="24">
        <f t="shared" si="14"/>
        <v>-0.69930555555555785</v>
      </c>
      <c r="H53" s="23">
        <f>299.07</f>
        <v>299.07</v>
      </c>
      <c r="I53" s="25">
        <f t="shared" si="7"/>
        <v>-209.14131250000068</v>
      </c>
    </row>
    <row r="54" spans="1:9" x14ac:dyDescent="0.25">
      <c r="A54" s="72"/>
      <c r="B54" s="23" t="s">
        <v>67</v>
      </c>
      <c r="C54" s="71">
        <f>0.08+0.05+0.3+0.3</f>
        <v>0.73</v>
      </c>
      <c r="D54" s="36">
        <f>GP47</f>
        <v>13.620000000000001</v>
      </c>
      <c r="E54" s="24">
        <f t="shared" si="13"/>
        <v>12.89</v>
      </c>
      <c r="F54" s="24">
        <f>GQ23</f>
        <v>13.540833333333337</v>
      </c>
      <c r="G54" s="24">
        <f t="shared" si="14"/>
        <v>-0.65083333333333648</v>
      </c>
      <c r="H54" s="23">
        <v>292.97000000000003</v>
      </c>
      <c r="I54" s="25">
        <f t="shared" si="7"/>
        <v>-190.67464166666761</v>
      </c>
    </row>
    <row r="55" spans="1:9" x14ac:dyDescent="0.25">
      <c r="A55" s="72"/>
      <c r="B55" s="59"/>
      <c r="C55" s="28"/>
      <c r="D55" s="36"/>
      <c r="E55" s="24"/>
      <c r="F55" s="24"/>
      <c r="G55" s="24"/>
      <c r="H55" s="23"/>
      <c r="I55" s="25">
        <f t="shared" si="7"/>
        <v>0</v>
      </c>
    </row>
    <row r="56" spans="1:9" x14ac:dyDescent="0.25">
      <c r="A56" s="72" t="s">
        <v>8</v>
      </c>
      <c r="B56" s="59" t="s">
        <v>8</v>
      </c>
      <c r="C56" s="28">
        <f t="shared" ref="C56:C74" si="15">0.15</f>
        <v>0.15</v>
      </c>
      <c r="D56" s="36">
        <f>GT47</f>
        <v>13.781428571428574</v>
      </c>
      <c r="E56" s="24">
        <f t="shared" si="13"/>
        <v>13.631428571428573</v>
      </c>
      <c r="F56" s="24">
        <f>GV23</f>
        <v>13.87793103448276</v>
      </c>
      <c r="G56" s="24">
        <f t="shared" ref="G56:G74" si="16">E56-F56</f>
        <v>-0.24650246305418655</v>
      </c>
      <c r="H56" s="23">
        <v>177.77</v>
      </c>
      <c r="I56" s="25">
        <f>H56*G56</f>
        <v>-43.820742857142747</v>
      </c>
    </row>
    <row r="57" spans="1:9" x14ac:dyDescent="0.25">
      <c r="A57" s="72"/>
      <c r="B57" s="59" t="s">
        <v>8</v>
      </c>
      <c r="C57" s="28">
        <f t="shared" si="15"/>
        <v>0.15</v>
      </c>
      <c r="D57" s="36">
        <f>GY47</f>
        <v>13.763</v>
      </c>
      <c r="E57" s="24">
        <f t="shared" si="13"/>
        <v>13.613</v>
      </c>
      <c r="F57" s="24">
        <f>HA23</f>
        <v>14.267358490566037</v>
      </c>
      <c r="G57" s="24">
        <f t="shared" si="16"/>
        <v>-0.65435849056603779</v>
      </c>
      <c r="H57" s="23">
        <v>267.11</v>
      </c>
      <c r="I57" s="25">
        <f>H57*G57</f>
        <v>-174.78569641509435</v>
      </c>
    </row>
    <row r="58" spans="1:9" x14ac:dyDescent="0.25">
      <c r="A58" s="22"/>
      <c r="B58" s="59" t="s">
        <v>8</v>
      </c>
      <c r="C58" s="28">
        <f t="shared" si="15"/>
        <v>0.15</v>
      </c>
      <c r="D58" s="36">
        <f>HD47</f>
        <v>13.779999999999998</v>
      </c>
      <c r="E58" s="24">
        <f t="shared" si="13"/>
        <v>13.629999999999997</v>
      </c>
      <c r="F58" s="24">
        <f>HE23</f>
        <v>14.056500000000005</v>
      </c>
      <c r="G58" s="24">
        <f t="shared" si="16"/>
        <v>-0.42650000000000787</v>
      </c>
      <c r="H58" s="23">
        <v>246.81</v>
      </c>
      <c r="I58" s="25">
        <f t="shared" si="7"/>
        <v>-105.26446500000195</v>
      </c>
    </row>
    <row r="59" spans="1:9" x14ac:dyDescent="0.25">
      <c r="A59" s="22"/>
      <c r="B59" s="59" t="s">
        <v>8</v>
      </c>
      <c r="C59" s="28">
        <f t="shared" si="15"/>
        <v>0.15</v>
      </c>
      <c r="D59" s="36">
        <f>HH47</f>
        <v>13.667000000000002</v>
      </c>
      <c r="E59" s="24">
        <f t="shared" si="13"/>
        <v>13.517000000000001</v>
      </c>
      <c r="F59" s="24">
        <f>HL23</f>
        <v>13.807525773195868</v>
      </c>
      <c r="G59" s="24">
        <f t="shared" si="16"/>
        <v>-0.29052577319586703</v>
      </c>
      <c r="H59" s="23">
        <v>698.28</v>
      </c>
      <c r="I59" s="25">
        <f t="shared" si="7"/>
        <v>-202.86833690721002</v>
      </c>
    </row>
    <row r="60" spans="1:9" x14ac:dyDescent="0.25">
      <c r="A60" s="22"/>
      <c r="B60" s="59" t="s">
        <v>8</v>
      </c>
      <c r="C60" s="28">
        <f t="shared" si="15"/>
        <v>0.15</v>
      </c>
      <c r="D60" s="36">
        <f>HO47</f>
        <v>13.657272727272726</v>
      </c>
      <c r="E60" s="24">
        <f t="shared" si="13"/>
        <v>13.507272727272726</v>
      </c>
      <c r="F60" s="36">
        <f>HR23</f>
        <v>13.702957746478873</v>
      </c>
      <c r="G60" s="24">
        <f t="shared" si="16"/>
        <v>-0.195685019206147</v>
      </c>
      <c r="H60" s="23">
        <v>369.99</v>
      </c>
      <c r="I60" s="25">
        <f t="shared" si="7"/>
        <v>-72.401500256082329</v>
      </c>
    </row>
    <row r="61" spans="1:9" x14ac:dyDescent="0.25">
      <c r="A61" s="22"/>
      <c r="B61" s="59" t="s">
        <v>8</v>
      </c>
      <c r="C61" s="28">
        <f t="shared" si="15"/>
        <v>0.15</v>
      </c>
      <c r="D61" s="36">
        <f>HU47</f>
        <v>13.797142857142855</v>
      </c>
      <c r="E61" s="24">
        <f t="shared" si="13"/>
        <v>13.647142857142855</v>
      </c>
      <c r="F61" s="24">
        <f>HX23</f>
        <v>13.445750000000004</v>
      </c>
      <c r="G61" s="24">
        <f t="shared" si="16"/>
        <v>0.20139285714285116</v>
      </c>
      <c r="H61" s="23">
        <v>464.75</v>
      </c>
      <c r="I61" s="25">
        <f t="shared" si="7"/>
        <v>93.597330357140081</v>
      </c>
    </row>
    <row r="62" spans="1:9" x14ac:dyDescent="0.25">
      <c r="A62" s="22"/>
      <c r="B62" s="59" t="s">
        <v>8</v>
      </c>
      <c r="C62" s="28">
        <f t="shared" si="15"/>
        <v>0.15</v>
      </c>
      <c r="D62" s="36">
        <f>IA47</f>
        <v>13.78</v>
      </c>
      <c r="E62" s="24">
        <f t="shared" si="13"/>
        <v>13.629999999999999</v>
      </c>
      <c r="F62" s="24">
        <f>IC23</f>
        <v>13.4626</v>
      </c>
      <c r="G62" s="24">
        <f t="shared" si="16"/>
        <v>0.16739999999999888</v>
      </c>
      <c r="H62" s="23">
        <f>143.73</f>
        <v>143.72999999999999</v>
      </c>
      <c r="I62" s="25">
        <f t="shared" si="7"/>
        <v>24.060401999999836</v>
      </c>
    </row>
    <row r="63" spans="1:9" x14ac:dyDescent="0.25">
      <c r="A63" s="22"/>
      <c r="B63" s="59" t="s">
        <v>8</v>
      </c>
      <c r="C63" s="28">
        <f t="shared" si="15"/>
        <v>0.15</v>
      </c>
      <c r="D63" s="36">
        <f>IF47</f>
        <v>13.697999999999999</v>
      </c>
      <c r="E63" s="24">
        <f t="shared" si="13"/>
        <v>13.547999999999998</v>
      </c>
      <c r="F63" s="24">
        <f>IG23</f>
        <v>13.877000000000001</v>
      </c>
      <c r="G63" s="24">
        <f t="shared" si="16"/>
        <v>-0.3290000000000024</v>
      </c>
      <c r="H63" s="23">
        <v>88.88</v>
      </c>
      <c r="I63" s="25">
        <f t="shared" si="7"/>
        <v>-29.241520000000211</v>
      </c>
    </row>
    <row r="64" spans="1:9" x14ac:dyDescent="0.25">
      <c r="A64" s="22"/>
      <c r="B64" s="59" t="s">
        <v>8</v>
      </c>
      <c r="C64" s="28">
        <f t="shared" si="15"/>
        <v>0.15</v>
      </c>
      <c r="D64" s="36">
        <f>IJ47</f>
        <v>13.665000000000001</v>
      </c>
      <c r="E64" s="24">
        <f t="shared" si="13"/>
        <v>13.515000000000001</v>
      </c>
      <c r="F64" s="24">
        <f>IM23</f>
        <v>13.718387096774189</v>
      </c>
      <c r="G64" s="24">
        <f t="shared" si="16"/>
        <v>-0.20338709677418798</v>
      </c>
      <c r="H64" s="23">
        <v>469.31</v>
      </c>
      <c r="I64" s="25">
        <f t="shared" si="7"/>
        <v>-95.451598387094165</v>
      </c>
    </row>
    <row r="65" spans="1:9" x14ac:dyDescent="0.25">
      <c r="A65" s="22"/>
      <c r="B65" s="59" t="s">
        <v>8</v>
      </c>
      <c r="C65" s="28">
        <f t="shared" si="15"/>
        <v>0.15</v>
      </c>
      <c r="D65" s="36">
        <f>IP47</f>
        <v>13.7</v>
      </c>
      <c r="E65" s="24">
        <f t="shared" si="13"/>
        <v>13.549999999999999</v>
      </c>
      <c r="F65" s="24">
        <f>IS23</f>
        <v>13.292054794520549</v>
      </c>
      <c r="G65" s="24">
        <f t="shared" si="16"/>
        <v>0.25794520547944977</v>
      </c>
      <c r="H65" s="23">
        <v>533.12</v>
      </c>
      <c r="I65" s="25">
        <f t="shared" si="7"/>
        <v>137.51574794520425</v>
      </c>
    </row>
    <row r="66" spans="1:9" x14ac:dyDescent="0.25">
      <c r="A66" s="22"/>
      <c r="B66" s="59" t="s">
        <v>8</v>
      </c>
      <c r="C66" s="28">
        <f t="shared" si="15"/>
        <v>0.15</v>
      </c>
      <c r="D66" s="36">
        <f>IV47</f>
        <v>13.700000000000001</v>
      </c>
      <c r="E66" s="24">
        <f t="shared" si="13"/>
        <v>13.55</v>
      </c>
      <c r="F66" s="24">
        <f>IX23</f>
        <v>13.426190476190476</v>
      </c>
      <c r="G66" s="24">
        <f t="shared" si="16"/>
        <v>0.12380952380952515</v>
      </c>
      <c r="H66" s="23">
        <f>323.44</f>
        <v>323.44</v>
      </c>
      <c r="I66" s="25">
        <f t="shared" si="7"/>
        <v>40.044952380952815</v>
      </c>
    </row>
    <row r="67" spans="1:9" x14ac:dyDescent="0.25">
      <c r="A67" s="22"/>
      <c r="B67" s="59" t="s">
        <v>8</v>
      </c>
      <c r="C67" s="28">
        <f t="shared" si="15"/>
        <v>0.15</v>
      </c>
      <c r="D67" s="36">
        <v>13.7</v>
      </c>
      <c r="E67" s="24">
        <f t="shared" si="13"/>
        <v>13.549999999999999</v>
      </c>
      <c r="F67" s="24">
        <f>JC23</f>
        <v>13.379387755102048</v>
      </c>
      <c r="G67" s="24">
        <f t="shared" si="16"/>
        <v>0.17061224489795102</v>
      </c>
      <c r="H67" s="23">
        <f>296.36</f>
        <v>296.36</v>
      </c>
      <c r="I67" s="25">
        <f t="shared" si="7"/>
        <v>50.562644897956766</v>
      </c>
    </row>
    <row r="68" spans="1:9" x14ac:dyDescent="0.25">
      <c r="A68" s="22"/>
      <c r="B68" s="59" t="s">
        <v>8</v>
      </c>
      <c r="C68" s="28">
        <f t="shared" si="15"/>
        <v>0.15</v>
      </c>
      <c r="D68" s="36">
        <v>13.7</v>
      </c>
      <c r="E68" s="24">
        <f t="shared" si="13"/>
        <v>13.549999999999999</v>
      </c>
      <c r="F68" s="24">
        <f>JG23</f>
        <v>13.471875000000001</v>
      </c>
      <c r="G68" s="24">
        <f t="shared" si="16"/>
        <v>7.8124999999998224E-2</v>
      </c>
      <c r="H68" s="23">
        <v>86.89</v>
      </c>
      <c r="I68" s="25">
        <f t="shared" si="7"/>
        <v>6.7882812499998453</v>
      </c>
    </row>
    <row r="69" spans="1:9" x14ac:dyDescent="0.25">
      <c r="A69" s="22"/>
      <c r="B69" s="59" t="s">
        <v>8</v>
      </c>
      <c r="C69" s="28">
        <f t="shared" si="15"/>
        <v>0.15</v>
      </c>
      <c r="D69" s="36">
        <f>JJ47</f>
        <v>13.646363636363635</v>
      </c>
      <c r="E69" s="24">
        <f t="shared" si="13"/>
        <v>13.496363636363634</v>
      </c>
      <c r="F69" s="24">
        <f>JL23</f>
        <v>13.717333333333336</v>
      </c>
      <c r="G69" s="24">
        <f t="shared" si="16"/>
        <v>-0.2209696969697017</v>
      </c>
      <c r="H69" s="23">
        <v>321.83</v>
      </c>
      <c r="I69" s="25">
        <f t="shared" si="7"/>
        <v>-71.114677575759089</v>
      </c>
    </row>
    <row r="70" spans="1:9" x14ac:dyDescent="0.25">
      <c r="A70" s="22"/>
      <c r="B70" s="59" t="s">
        <v>8</v>
      </c>
      <c r="C70" s="28">
        <f t="shared" si="15"/>
        <v>0.15</v>
      </c>
      <c r="D70" s="36">
        <f>JO47</f>
        <v>13.733571428571429</v>
      </c>
      <c r="E70" s="24">
        <f t="shared" si="13"/>
        <v>13.583571428571428</v>
      </c>
      <c r="F70" s="24">
        <f>JQ23</f>
        <v>13.86000000000001</v>
      </c>
      <c r="G70" s="24">
        <f t="shared" si="16"/>
        <v>-0.2764285714285819</v>
      </c>
      <c r="H70" s="23">
        <v>249.51</v>
      </c>
      <c r="I70" s="25">
        <f t="shared" si="7"/>
        <v>-68.97169285714547</v>
      </c>
    </row>
    <row r="71" spans="1:9" x14ac:dyDescent="0.25">
      <c r="A71" s="22"/>
      <c r="B71" s="59" t="s">
        <v>78</v>
      </c>
      <c r="C71" s="28">
        <f t="shared" si="15"/>
        <v>0.15</v>
      </c>
      <c r="D71" s="36">
        <f>JY47</f>
        <v>13.774166666666666</v>
      </c>
      <c r="E71" s="24">
        <f t="shared" si="13"/>
        <v>13.624166666666666</v>
      </c>
      <c r="F71" s="24">
        <f>(13.3+13.45)/2</f>
        <v>13.375</v>
      </c>
      <c r="G71" s="24">
        <f t="shared" si="16"/>
        <v>0.24916666666666565</v>
      </c>
      <c r="H71" s="23">
        <f>1618.47-H72</f>
        <v>1194.29</v>
      </c>
      <c r="I71" s="25">
        <f t="shared" si="7"/>
        <v>297.57725833333211</v>
      </c>
    </row>
    <row r="72" spans="1:9" x14ac:dyDescent="0.25">
      <c r="A72" s="22"/>
      <c r="B72" s="59" t="s">
        <v>78</v>
      </c>
      <c r="C72" s="28">
        <f t="shared" si="15"/>
        <v>0.15</v>
      </c>
      <c r="D72" s="36">
        <f>JT47</f>
        <v>13.782307692307691</v>
      </c>
      <c r="E72" s="24">
        <f t="shared" ref="E72:E73" si="17">D72-C72</f>
        <v>13.632307692307691</v>
      </c>
      <c r="F72" s="24">
        <f>JV23</f>
        <v>13.910166666666672</v>
      </c>
      <c r="G72" s="24">
        <f t="shared" si="16"/>
        <v>-0.27785897435898121</v>
      </c>
      <c r="H72" s="23">
        <v>424.18</v>
      </c>
      <c r="I72" s="25">
        <f t="shared" si="7"/>
        <v>-117.86221974359265</v>
      </c>
    </row>
    <row r="73" spans="1:9" x14ac:dyDescent="0.25">
      <c r="A73" s="22"/>
      <c r="B73" s="59" t="s">
        <v>78</v>
      </c>
      <c r="C73" s="28">
        <f t="shared" si="15"/>
        <v>0.15</v>
      </c>
      <c r="D73" s="36">
        <f>KG47</f>
        <v>13.680666666666667</v>
      </c>
      <c r="E73" s="24">
        <f t="shared" si="17"/>
        <v>13.530666666666667</v>
      </c>
      <c r="F73" s="24">
        <v>13.35</v>
      </c>
      <c r="G73" s="24">
        <f t="shared" si="16"/>
        <v>0.1806666666666672</v>
      </c>
      <c r="H73" s="23">
        <f>1417.06-H74</f>
        <v>1169.26</v>
      </c>
      <c r="I73" s="25">
        <f t="shared" si="7"/>
        <v>211.24630666666729</v>
      </c>
    </row>
    <row r="74" spans="1:9" x14ac:dyDescent="0.25">
      <c r="A74" s="22"/>
      <c r="B74" s="59" t="s">
        <v>78</v>
      </c>
      <c r="C74" s="28">
        <f t="shared" si="15"/>
        <v>0.15</v>
      </c>
      <c r="D74" s="36">
        <f>KB47</f>
        <v>13.64</v>
      </c>
      <c r="E74" s="24">
        <f t="shared" ref="E74:E76" si="18">D74-C74</f>
        <v>13.49</v>
      </c>
      <c r="F74" s="24">
        <f>KD23</f>
        <v>13.638846153846155</v>
      </c>
      <c r="G74" s="24">
        <f t="shared" si="16"/>
        <v>-0.14884615384615429</v>
      </c>
      <c r="H74" s="23">
        <f>247.8</f>
        <v>247.8</v>
      </c>
      <c r="I74" s="25">
        <f t="shared" si="7"/>
        <v>-36.884076923077039</v>
      </c>
    </row>
    <row r="75" spans="1:9" x14ac:dyDescent="0.25">
      <c r="A75" s="22"/>
      <c r="B75" s="23"/>
      <c r="C75" s="28"/>
      <c r="D75" s="36"/>
      <c r="E75" s="24"/>
      <c r="F75" s="24"/>
      <c r="G75" s="24"/>
      <c r="H75" s="23"/>
      <c r="I75" s="25">
        <f t="shared" si="7"/>
        <v>0</v>
      </c>
    </row>
    <row r="76" spans="1:9" x14ac:dyDescent="0.25">
      <c r="A76" s="22" t="s">
        <v>49</v>
      </c>
      <c r="B76" s="23" t="s">
        <v>49</v>
      </c>
      <c r="C76" s="71">
        <f>0.03+(0.12+0.22)/2</f>
        <v>0.19999999999999998</v>
      </c>
      <c r="D76" s="36">
        <v>13.85</v>
      </c>
      <c r="E76" s="24">
        <f t="shared" si="18"/>
        <v>13.65</v>
      </c>
      <c r="F76" s="24">
        <f>KL23</f>
        <v>13.546727272727276</v>
      </c>
      <c r="G76" s="24">
        <f>E76-F76</f>
        <v>0.1032727272727243</v>
      </c>
      <c r="H76" s="23">
        <v>205.18</v>
      </c>
      <c r="I76" s="25">
        <f t="shared" si="7"/>
        <v>21.189498181817573</v>
      </c>
    </row>
    <row r="77" spans="1:9" x14ac:dyDescent="0.25">
      <c r="A77" s="22"/>
      <c r="B77" s="23" t="s">
        <v>79</v>
      </c>
      <c r="C77" s="71">
        <f>0.03+(0.12+0.22)/2</f>
        <v>0.19999999999999998</v>
      </c>
      <c r="D77" s="36">
        <v>13.85</v>
      </c>
      <c r="E77" s="24">
        <f t="shared" ref="E77:E79" si="19">D77-C77</f>
        <v>13.65</v>
      </c>
      <c r="F77" s="24">
        <f>(13.45+13.3)/2</f>
        <v>13.375</v>
      </c>
      <c r="G77" s="24">
        <f>E77-F77</f>
        <v>0.27500000000000036</v>
      </c>
      <c r="H77" s="23">
        <v>253.48</v>
      </c>
      <c r="I77" s="25">
        <f t="shared" si="7"/>
        <v>69.707000000000093</v>
      </c>
    </row>
    <row r="78" spans="1:9" x14ac:dyDescent="0.25">
      <c r="A78" s="22"/>
      <c r="B78" s="23" t="s">
        <v>49</v>
      </c>
      <c r="C78" s="71">
        <f>0.03+(0.12+0.22)/2</f>
        <v>0.19999999999999998</v>
      </c>
      <c r="D78" s="36">
        <v>13.75</v>
      </c>
      <c r="E78" s="24">
        <f t="shared" si="19"/>
        <v>13.55</v>
      </c>
      <c r="F78" s="24">
        <f>KT23</f>
        <v>13.321650485436896</v>
      </c>
      <c r="G78" s="24">
        <f>E78-F78</f>
        <v>0.22834951456310471</v>
      </c>
      <c r="H78" s="23">
        <f>354.95</f>
        <v>354.95</v>
      </c>
      <c r="I78" s="25">
        <f t="shared" si="7"/>
        <v>81.05266019417401</v>
      </c>
    </row>
    <row r="79" spans="1:9" x14ac:dyDescent="0.25">
      <c r="A79" s="22"/>
      <c r="B79" s="23" t="s">
        <v>79</v>
      </c>
      <c r="C79" s="71">
        <f>0.03+(0.12+0.22)/2</f>
        <v>0.19999999999999998</v>
      </c>
      <c r="D79" s="36">
        <v>13.75</v>
      </c>
      <c r="E79" s="24">
        <f t="shared" si="19"/>
        <v>13.55</v>
      </c>
      <c r="F79" s="24">
        <v>13.35</v>
      </c>
      <c r="G79" s="24">
        <f>E79-F79</f>
        <v>0.20000000000000107</v>
      </c>
      <c r="H79" s="23">
        <v>248.11</v>
      </c>
      <c r="I79" s="25">
        <f t="shared" si="7"/>
        <v>49.62200000000027</v>
      </c>
    </row>
    <row r="80" spans="1:9" x14ac:dyDescent="0.25">
      <c r="A80" s="22"/>
      <c r="B80" s="23"/>
      <c r="C80" s="29"/>
      <c r="D80" s="36"/>
      <c r="E80" s="24"/>
      <c r="F80" s="24"/>
      <c r="G80" s="24"/>
      <c r="H80" s="23"/>
      <c r="I80" s="25">
        <f t="shared" ref="I80:I81" si="20">H80*G80</f>
        <v>0</v>
      </c>
    </row>
    <row r="81" spans="1:9" x14ac:dyDescent="0.25">
      <c r="A81" s="22"/>
      <c r="B81" s="23"/>
      <c r="C81" s="29"/>
      <c r="D81" s="36"/>
      <c r="E81" s="24"/>
      <c r="F81" s="24"/>
      <c r="G81" s="24"/>
      <c r="H81" s="23"/>
      <c r="I81" s="25">
        <f t="shared" si="20"/>
        <v>0</v>
      </c>
    </row>
    <row r="82" spans="1:9" ht="18.75" x14ac:dyDescent="0.3">
      <c r="I82" s="48">
        <f>SUM(I2:I81)</f>
        <v>-13437.539516737883</v>
      </c>
    </row>
    <row r="85" spans="1:9" x14ac:dyDescent="0.25">
      <c r="I85" s="47"/>
    </row>
    <row r="86" spans="1:9" x14ac:dyDescent="0.25">
      <c r="I86" s="47"/>
    </row>
  </sheetData>
  <pageMargins left="0.7" right="0.7" top="0.75" bottom="0.75" header="0.3" footer="0.3"/>
  <pageSetup paperSize="9" scale="10"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C93"/>
  <sheetViews>
    <sheetView zoomScale="70" zoomScaleNormal="70" workbookViewId="0">
      <pane ySplit="1" topLeftCell="A5" activePane="bottomLeft" state="frozen"/>
      <selection pane="bottomLeft" activeCell="P93" sqref="P93"/>
    </sheetView>
  </sheetViews>
  <sheetFormatPr defaultColWidth="9.140625" defaultRowHeight="15" x14ac:dyDescent="0.25"/>
  <cols>
    <col min="1" max="1" width="29.140625" style="11" customWidth="1"/>
    <col min="2" max="2" width="28.5703125" style="11" customWidth="1"/>
    <col min="3" max="6" width="9.140625" style="11"/>
    <col min="7" max="7" width="10.7109375" style="11" customWidth="1"/>
    <col min="8" max="8" width="9.140625" style="11"/>
    <col min="9" max="9" width="13.85546875" style="11" customWidth="1"/>
    <col min="10" max="16384" width="9.140625" style="11"/>
  </cols>
  <sheetData>
    <row r="1" spans="1:211" ht="30.75" thickBot="1" x14ac:dyDescent="0.3">
      <c r="A1" s="15" t="s">
        <v>1</v>
      </c>
      <c r="B1" s="16" t="s">
        <v>9</v>
      </c>
      <c r="C1" s="16" t="s">
        <v>10</v>
      </c>
      <c r="D1" s="17" t="s">
        <v>11</v>
      </c>
      <c r="E1" s="16" t="s">
        <v>12</v>
      </c>
      <c r="F1" s="18" t="s">
        <v>13</v>
      </c>
      <c r="G1" s="19" t="s">
        <v>19</v>
      </c>
      <c r="H1" s="20" t="s">
        <v>14</v>
      </c>
      <c r="I1" s="21" t="s">
        <v>15</v>
      </c>
      <c r="L1" s="58" t="s">
        <v>17</v>
      </c>
      <c r="M1" s="58"/>
      <c r="N1" s="58"/>
      <c r="O1" s="58"/>
      <c r="P1" s="58"/>
      <c r="Q1" s="58"/>
      <c r="R1" s="58"/>
      <c r="S1" s="58"/>
      <c r="T1" s="58"/>
      <c r="U1" s="58"/>
      <c r="V1" s="58"/>
      <c r="W1" s="58"/>
      <c r="X1" s="58"/>
      <c r="Y1" s="58"/>
      <c r="Z1" s="58"/>
      <c r="AA1" s="58"/>
      <c r="AB1" s="58"/>
      <c r="AC1" s="58"/>
      <c r="AD1" s="58"/>
      <c r="AE1" s="58"/>
      <c r="AF1" s="58"/>
      <c r="AG1" s="58"/>
      <c r="AH1" s="58"/>
      <c r="AI1" s="58"/>
      <c r="AJ1" s="58"/>
      <c r="AK1" s="58"/>
      <c r="AL1" s="58"/>
      <c r="AM1" s="58"/>
      <c r="AN1" s="58"/>
      <c r="AO1" s="58"/>
      <c r="AP1" s="58"/>
      <c r="AQ1" s="58"/>
      <c r="AR1" s="58"/>
      <c r="AS1" s="58"/>
      <c r="AT1" s="58"/>
      <c r="AU1" s="58"/>
      <c r="AV1" s="58"/>
      <c r="AW1" s="58"/>
      <c r="AX1" s="58"/>
      <c r="AY1" s="58"/>
      <c r="AZ1" s="58"/>
      <c r="BA1" s="58"/>
      <c r="BB1" s="58"/>
      <c r="BC1" s="58"/>
      <c r="BD1" s="58"/>
      <c r="BE1" s="58"/>
      <c r="BF1" s="58"/>
      <c r="BG1" s="58"/>
      <c r="BH1" s="58"/>
      <c r="BI1" s="58"/>
      <c r="BJ1" s="58"/>
      <c r="BK1" s="58"/>
      <c r="BL1" s="58"/>
      <c r="BM1" s="58"/>
      <c r="BN1" s="58"/>
      <c r="BO1" s="58"/>
      <c r="BP1" s="58"/>
      <c r="BQ1" s="58"/>
      <c r="BR1" s="58"/>
      <c r="BS1" s="58"/>
      <c r="BT1" s="58"/>
      <c r="BU1" s="58"/>
      <c r="BV1" s="58"/>
      <c r="BW1" s="58"/>
      <c r="BX1" s="58"/>
      <c r="BY1" s="58"/>
      <c r="BZ1" s="58"/>
      <c r="CA1" s="58"/>
      <c r="CB1" s="58"/>
      <c r="CC1" s="58"/>
      <c r="CD1" s="58"/>
      <c r="CE1" s="58"/>
      <c r="CF1" s="58"/>
      <c r="CG1" s="58"/>
      <c r="CH1" s="58"/>
      <c r="CI1" s="58"/>
      <c r="CJ1" s="58"/>
      <c r="CK1" s="58"/>
      <c r="CL1" s="58"/>
      <c r="CM1" s="58"/>
      <c r="CN1" s="58"/>
      <c r="CO1" s="58"/>
      <c r="CP1" s="58"/>
      <c r="CQ1" s="58"/>
      <c r="CR1" s="58"/>
      <c r="CS1" s="58"/>
      <c r="CT1" s="58"/>
      <c r="CU1" s="58"/>
      <c r="CV1" s="58"/>
      <c r="CW1" s="58"/>
      <c r="CX1" s="58"/>
      <c r="CY1" s="58"/>
      <c r="CZ1" s="58"/>
      <c r="DA1" s="58"/>
      <c r="DB1" s="58"/>
      <c r="DC1" s="58"/>
      <c r="DD1" s="58"/>
      <c r="DE1" s="58"/>
      <c r="DF1" s="58"/>
      <c r="DG1" s="58"/>
      <c r="DH1" s="58"/>
      <c r="DI1" s="58"/>
      <c r="DJ1" s="58"/>
      <c r="DK1" s="58"/>
      <c r="DL1" s="58"/>
      <c r="DM1" s="58"/>
      <c r="DN1" s="58"/>
      <c r="DO1" s="58"/>
      <c r="DP1" s="58"/>
      <c r="DQ1" s="58"/>
      <c r="DR1" s="58"/>
      <c r="DS1" s="58"/>
      <c r="DT1" s="58"/>
      <c r="DU1" s="58"/>
      <c r="DV1" s="58"/>
      <c r="DW1" s="58"/>
      <c r="DX1" s="58"/>
      <c r="DY1" s="58"/>
      <c r="DZ1" s="58"/>
      <c r="EA1" s="58"/>
      <c r="EB1" s="58"/>
      <c r="EC1" s="58"/>
      <c r="ED1" s="58"/>
      <c r="EE1" s="58"/>
      <c r="EF1" s="58"/>
      <c r="EG1" s="58"/>
      <c r="EH1" s="58"/>
      <c r="EI1" s="58"/>
      <c r="EJ1" s="58"/>
      <c r="EK1" s="58"/>
      <c r="EL1" s="58"/>
      <c r="EM1" s="58"/>
      <c r="EN1" s="58"/>
      <c r="EO1" s="58"/>
      <c r="EP1" s="58"/>
      <c r="EQ1" s="58"/>
      <c r="ER1" s="58"/>
      <c r="ES1" s="58"/>
      <c r="ET1" s="58"/>
      <c r="EU1" s="58"/>
      <c r="EV1" s="58"/>
      <c r="EW1" s="58"/>
      <c r="EX1" s="58"/>
      <c r="EY1" s="58"/>
      <c r="EZ1" s="58"/>
      <c r="FA1" s="58"/>
      <c r="FB1" s="58"/>
      <c r="FC1" s="58"/>
      <c r="FD1" s="58"/>
      <c r="FE1" s="58"/>
      <c r="FF1" s="58"/>
      <c r="FG1" s="58"/>
      <c r="FH1" s="58"/>
      <c r="FI1" s="58"/>
      <c r="FJ1" s="58"/>
      <c r="FK1" s="58"/>
      <c r="FL1" s="58"/>
      <c r="FM1" s="58"/>
      <c r="FN1" s="58"/>
      <c r="FO1" s="58"/>
      <c r="FP1" s="58"/>
      <c r="FQ1" s="58"/>
      <c r="FR1" s="58"/>
      <c r="FS1" s="58"/>
      <c r="FT1" s="58"/>
      <c r="FU1" s="58"/>
      <c r="FV1" s="58"/>
      <c r="FW1" s="58"/>
      <c r="FX1" s="58"/>
      <c r="FY1" s="58"/>
      <c r="FZ1" s="58"/>
      <c r="GA1" s="58"/>
      <c r="GB1" s="58"/>
      <c r="GC1" s="58"/>
      <c r="GD1" s="58"/>
      <c r="GE1" s="58"/>
      <c r="GF1" s="58"/>
      <c r="GG1" s="58"/>
      <c r="GH1" s="58"/>
      <c r="GI1" s="58"/>
      <c r="GJ1" s="58"/>
      <c r="GK1" s="58"/>
      <c r="GL1" s="58"/>
      <c r="GM1" s="58"/>
      <c r="GN1" s="58"/>
      <c r="GO1" s="58"/>
      <c r="GP1" s="58"/>
      <c r="GQ1" s="58"/>
      <c r="GR1" s="58"/>
      <c r="GS1" s="58"/>
      <c r="GT1" s="58"/>
      <c r="GU1" s="58"/>
      <c r="GV1" s="58"/>
      <c r="GW1" s="58"/>
      <c r="GX1" s="58"/>
      <c r="GY1" s="58"/>
      <c r="GZ1" s="58"/>
      <c r="HA1" s="58"/>
      <c r="HB1" s="58"/>
      <c r="HC1" s="58"/>
    </row>
    <row r="2" spans="1:211" x14ac:dyDescent="0.25">
      <c r="A2" s="22" t="s">
        <v>21</v>
      </c>
      <c r="B2" s="23" t="s">
        <v>62</v>
      </c>
      <c r="C2" s="28">
        <f>0.04+0.06+0.25+0.55</f>
        <v>0.9</v>
      </c>
      <c r="D2" s="36">
        <f>N47</f>
        <v>13.546521739130437</v>
      </c>
      <c r="E2" s="24">
        <f t="shared" ref="E2" si="0">D2-C2</f>
        <v>12.646521739130437</v>
      </c>
      <c r="F2" s="24">
        <f>R23</f>
        <v>13.849826086956513</v>
      </c>
      <c r="G2" s="24">
        <f>E2-F2</f>
        <v>-1.2033043478260765</v>
      </c>
      <c r="H2" s="23">
        <v>1041.0899999999999</v>
      </c>
      <c r="I2" s="25">
        <f>H2*G2</f>
        <v>-1252.7481234782499</v>
      </c>
      <c r="L2" s="37" t="s">
        <v>21</v>
      </c>
      <c r="M2" s="38"/>
      <c r="N2" s="38"/>
      <c r="O2" s="38"/>
      <c r="P2" s="38"/>
      <c r="Q2" s="38"/>
      <c r="R2" s="39"/>
      <c r="T2" s="37" t="s">
        <v>21</v>
      </c>
      <c r="U2" s="38"/>
      <c r="V2" s="39"/>
      <c r="X2" s="37" t="s">
        <v>22</v>
      </c>
      <c r="Y2" s="38"/>
      <c r="Z2" s="39"/>
      <c r="AB2" s="37" t="s">
        <v>23</v>
      </c>
      <c r="AC2" s="38"/>
      <c r="AD2" s="39"/>
      <c r="AF2" s="37" t="s">
        <v>24</v>
      </c>
      <c r="AG2" s="39"/>
      <c r="AI2" s="37" t="s">
        <v>24</v>
      </c>
      <c r="AJ2" s="39"/>
      <c r="AL2" s="37" t="s">
        <v>25</v>
      </c>
      <c r="AM2" s="39"/>
      <c r="AO2" s="37" t="s">
        <v>25</v>
      </c>
      <c r="AP2" s="38"/>
      <c r="AQ2" s="38"/>
      <c r="AR2" s="39"/>
      <c r="AT2" s="37" t="s">
        <v>20</v>
      </c>
      <c r="AU2" s="38"/>
      <c r="AV2" s="39"/>
      <c r="AX2" s="37" t="s">
        <v>20</v>
      </c>
      <c r="AY2" s="39"/>
      <c r="BA2" s="37" t="s">
        <v>20</v>
      </c>
      <c r="BB2" s="39"/>
      <c r="BD2" s="37" t="s">
        <v>20</v>
      </c>
      <c r="BE2" s="39"/>
      <c r="BG2" s="37" t="s">
        <v>20</v>
      </c>
      <c r="BH2" s="39"/>
      <c r="BJ2" s="37" t="s">
        <v>26</v>
      </c>
      <c r="BK2" s="39"/>
      <c r="BM2" s="37" t="s">
        <v>8</v>
      </c>
      <c r="BN2" s="38"/>
      <c r="BO2" s="38"/>
      <c r="BP2" s="38"/>
      <c r="BQ2" s="38"/>
      <c r="BR2" s="39"/>
      <c r="BT2" s="37" t="s">
        <v>8</v>
      </c>
      <c r="BU2" s="38"/>
      <c r="BV2" s="38"/>
      <c r="BW2" s="38"/>
      <c r="BX2" s="39"/>
      <c r="BZ2" s="37" t="s">
        <v>8</v>
      </c>
      <c r="CA2" s="39"/>
      <c r="CC2" s="37" t="s">
        <v>8</v>
      </c>
      <c r="CD2" s="38"/>
      <c r="CE2" s="39"/>
      <c r="CG2" s="37" t="s">
        <v>8</v>
      </c>
      <c r="CH2" s="38"/>
      <c r="CI2" s="39"/>
      <c r="CK2" s="37" t="s">
        <v>8</v>
      </c>
      <c r="CL2" s="38"/>
      <c r="CM2" s="39"/>
      <c r="CO2" s="37" t="s">
        <v>8</v>
      </c>
      <c r="CP2" s="38"/>
      <c r="CQ2" s="39"/>
      <c r="CS2" s="37" t="s">
        <v>8</v>
      </c>
      <c r="CT2" s="39"/>
      <c r="CV2" s="37" t="s">
        <v>8</v>
      </c>
      <c r="CW2" s="38"/>
      <c r="CX2" s="39"/>
      <c r="CZ2" s="37" t="s">
        <v>8</v>
      </c>
      <c r="DA2" s="38"/>
      <c r="DB2" s="38"/>
      <c r="DC2" s="39"/>
    </row>
    <row r="3" spans="1:211" x14ac:dyDescent="0.25">
      <c r="A3" s="22"/>
      <c r="B3" s="23" t="s">
        <v>62</v>
      </c>
      <c r="C3" s="28">
        <f>0.04+0.06+0.25+0.55</f>
        <v>0.9</v>
      </c>
      <c r="D3" s="36">
        <f>U47</f>
        <v>13.562222222222223</v>
      </c>
      <c r="E3" s="24">
        <f>D3-C3</f>
        <v>12.662222222222223</v>
      </c>
      <c r="F3" s="24">
        <f>V23</f>
        <v>13.753636363636362</v>
      </c>
      <c r="G3" s="24">
        <f>E3-F3</f>
        <v>-1.0914141414141394</v>
      </c>
      <c r="H3" s="23">
        <v>198.79</v>
      </c>
      <c r="I3" s="25">
        <f>H3*G3</f>
        <v>-216.96221717171676</v>
      </c>
      <c r="L3" s="40"/>
      <c r="M3" s="41">
        <f>13.72</f>
        <v>13.72</v>
      </c>
      <c r="N3" s="41">
        <v>13.87</v>
      </c>
      <c r="O3" s="41">
        <v>13.96</v>
      </c>
      <c r="P3" s="41">
        <v>13.59</v>
      </c>
      <c r="Q3" s="41">
        <v>13.59</v>
      </c>
      <c r="R3" s="42">
        <v>13.73</v>
      </c>
      <c r="T3" s="40"/>
      <c r="U3" s="41">
        <v>13.83</v>
      </c>
      <c r="V3" s="42">
        <v>13.19</v>
      </c>
      <c r="X3" s="40"/>
      <c r="Y3" s="41">
        <v>13.75</v>
      </c>
      <c r="Z3" s="42">
        <v>13.56</v>
      </c>
      <c r="AB3" s="40"/>
      <c r="AC3" s="41">
        <v>13.85</v>
      </c>
      <c r="AD3" s="42">
        <v>13.72</v>
      </c>
      <c r="AF3" s="40"/>
      <c r="AG3" s="42">
        <f>13.58</f>
        <v>13.58</v>
      </c>
      <c r="AI3" s="40"/>
      <c r="AJ3" s="42">
        <v>13.69</v>
      </c>
      <c r="AL3" s="40"/>
      <c r="AM3" s="42">
        <v>13.72</v>
      </c>
      <c r="AO3" s="40"/>
      <c r="AP3" s="41">
        <v>13.75</v>
      </c>
      <c r="AQ3" s="41">
        <v>13.74</v>
      </c>
      <c r="AR3" s="42">
        <v>13.58</v>
      </c>
      <c r="AT3" s="40"/>
      <c r="AU3" s="41">
        <v>13.74</v>
      </c>
      <c r="AV3" s="42">
        <v>13.49</v>
      </c>
      <c r="AX3" s="40"/>
      <c r="AY3" s="42">
        <v>13.71</v>
      </c>
      <c r="BA3" s="40"/>
      <c r="BB3" s="42">
        <v>13.58</v>
      </c>
      <c r="BD3" s="40"/>
      <c r="BE3" s="42">
        <v>13.27</v>
      </c>
      <c r="BG3" s="40"/>
      <c r="BH3" s="42">
        <v>13.82</v>
      </c>
      <c r="BJ3" s="40"/>
      <c r="BK3" s="42">
        <v>13.52</v>
      </c>
      <c r="BM3" s="40"/>
      <c r="BN3" s="41">
        <v>13.6</v>
      </c>
      <c r="BO3" s="41">
        <v>13.73</v>
      </c>
      <c r="BP3" s="41">
        <v>13.57</v>
      </c>
      <c r="BQ3" s="41">
        <f>13.73</f>
        <v>13.73</v>
      </c>
      <c r="BR3" s="42">
        <v>13.61</v>
      </c>
      <c r="BT3" s="40"/>
      <c r="BU3" s="41">
        <v>13.6</v>
      </c>
      <c r="BV3" s="41">
        <v>13.73</v>
      </c>
      <c r="BW3" s="41">
        <v>13.41</v>
      </c>
      <c r="BX3" s="42">
        <v>13.4</v>
      </c>
      <c r="BZ3" s="40"/>
      <c r="CA3" s="42">
        <v>13.71</v>
      </c>
      <c r="CC3" s="40"/>
      <c r="CD3" s="41">
        <v>13.5</v>
      </c>
      <c r="CE3" s="42">
        <v>13.62</v>
      </c>
      <c r="CG3" s="40"/>
      <c r="CH3" s="41">
        <v>13.7</v>
      </c>
      <c r="CI3" s="42">
        <v>13.4</v>
      </c>
      <c r="CK3" s="40"/>
      <c r="CL3" s="41">
        <v>13.45</v>
      </c>
      <c r="CM3" s="42">
        <v>13.56</v>
      </c>
      <c r="CO3" s="40"/>
      <c r="CP3" s="41">
        <v>13.43</v>
      </c>
      <c r="CQ3" s="42">
        <v>13.27</v>
      </c>
      <c r="CS3" s="40"/>
      <c r="CT3" s="42">
        <v>13.84</v>
      </c>
      <c r="CV3" s="40"/>
      <c r="CW3" s="41">
        <v>13.94</v>
      </c>
      <c r="CX3" s="42">
        <v>14.05</v>
      </c>
      <c r="CZ3" s="40"/>
      <c r="DA3" s="41">
        <v>13.44</v>
      </c>
      <c r="DB3" s="41">
        <v>13.27</v>
      </c>
      <c r="DC3" s="42">
        <v>13.52</v>
      </c>
    </row>
    <row r="4" spans="1:211" x14ac:dyDescent="0.25">
      <c r="A4" s="22"/>
      <c r="B4" s="23"/>
      <c r="C4" s="28"/>
      <c r="D4" s="36"/>
      <c r="E4" s="24"/>
      <c r="F4" s="36"/>
      <c r="G4" s="24"/>
      <c r="H4" s="23"/>
      <c r="I4" s="25">
        <f t="shared" ref="I4:I14" si="1">H4*G4</f>
        <v>0</v>
      </c>
      <c r="L4" s="40"/>
      <c r="M4" s="41">
        <v>13.85</v>
      </c>
      <c r="N4" s="41">
        <v>14.04</v>
      </c>
      <c r="O4" s="41">
        <v>14.05</v>
      </c>
      <c r="P4" s="41">
        <v>13.71</v>
      </c>
      <c r="Q4" s="41">
        <v>14.03</v>
      </c>
      <c r="R4" s="42">
        <v>13.94</v>
      </c>
      <c r="T4" s="40"/>
      <c r="U4" s="41">
        <v>13.84</v>
      </c>
      <c r="V4" s="42">
        <v>13.16</v>
      </c>
      <c r="X4" s="40"/>
      <c r="Y4" s="41">
        <v>13.55</v>
      </c>
      <c r="Z4" s="42">
        <v>13.58</v>
      </c>
      <c r="AB4" s="40"/>
      <c r="AC4" s="41">
        <v>13.81</v>
      </c>
      <c r="AD4" s="42">
        <v>13.71</v>
      </c>
      <c r="AF4" s="40"/>
      <c r="AG4" s="42">
        <v>13.59</v>
      </c>
      <c r="AI4" s="40"/>
      <c r="AJ4" s="42">
        <v>13.71</v>
      </c>
      <c r="AL4" s="40"/>
      <c r="AM4" s="42">
        <v>13.65</v>
      </c>
      <c r="AO4" s="40"/>
      <c r="AP4" s="41">
        <v>13.74</v>
      </c>
      <c r="AQ4" s="41">
        <v>13.78</v>
      </c>
      <c r="AR4" s="42">
        <v>13.8</v>
      </c>
      <c r="AT4" s="40"/>
      <c r="AU4" s="41">
        <v>13.6</v>
      </c>
      <c r="AV4" s="42">
        <v>13.5</v>
      </c>
      <c r="AX4" s="40"/>
      <c r="AY4" s="42">
        <v>13.7</v>
      </c>
      <c r="BA4" s="40"/>
      <c r="BB4" s="42">
        <v>13.8</v>
      </c>
      <c r="BD4" s="40"/>
      <c r="BE4" s="42">
        <v>13.2</v>
      </c>
      <c r="BG4" s="40"/>
      <c r="BH4" s="42">
        <v>13.83</v>
      </c>
      <c r="BJ4" s="40"/>
      <c r="BK4" s="42">
        <v>13.43</v>
      </c>
      <c r="BM4" s="40"/>
      <c r="BN4" s="41">
        <v>13.58</v>
      </c>
      <c r="BO4" s="41">
        <v>13.77</v>
      </c>
      <c r="BP4" s="41">
        <v>13.42</v>
      </c>
      <c r="BQ4" s="41">
        <v>13.41</v>
      </c>
      <c r="BR4" s="42">
        <v>13.45</v>
      </c>
      <c r="BT4" s="40"/>
      <c r="BU4" s="41">
        <v>13.61</v>
      </c>
      <c r="BV4" s="41">
        <v>13.71</v>
      </c>
      <c r="BW4" s="41">
        <v>13.27</v>
      </c>
      <c r="BX4" s="42">
        <v>13.16</v>
      </c>
      <c r="BZ4" s="40"/>
      <c r="CA4" s="42">
        <v>13.7</v>
      </c>
      <c r="CC4" s="40"/>
      <c r="CD4" s="41">
        <v>13.74</v>
      </c>
      <c r="CE4" s="42">
        <v>13.75</v>
      </c>
      <c r="CG4" s="40"/>
      <c r="CH4" s="41">
        <v>13.35</v>
      </c>
      <c r="CI4" s="42">
        <v>13.45</v>
      </c>
      <c r="CK4" s="40"/>
      <c r="CL4" s="41">
        <v>13.5</v>
      </c>
      <c r="CM4" s="42">
        <v>13.51</v>
      </c>
      <c r="CO4" s="40"/>
      <c r="CP4" s="41">
        <v>13.43</v>
      </c>
      <c r="CQ4" s="42">
        <v>13.18</v>
      </c>
      <c r="CS4" s="40"/>
      <c r="CT4" s="42">
        <v>13.84</v>
      </c>
      <c r="CV4" s="40"/>
      <c r="CW4" s="41">
        <v>13.96</v>
      </c>
      <c r="CX4" s="42">
        <v>14.06</v>
      </c>
      <c r="CZ4" s="40"/>
      <c r="DA4" s="41">
        <v>13.45</v>
      </c>
      <c r="DB4" s="41">
        <v>13.28</v>
      </c>
      <c r="DC4" s="42">
        <v>13.5</v>
      </c>
    </row>
    <row r="5" spans="1:211" x14ac:dyDescent="0.25">
      <c r="A5" s="22" t="s">
        <v>22</v>
      </c>
      <c r="B5" s="23" t="s">
        <v>63</v>
      </c>
      <c r="C5" s="78">
        <f>0.05+0.15+0.2</f>
        <v>0.4</v>
      </c>
      <c r="D5" s="36">
        <f>Y47</f>
        <v>13.662142857142859</v>
      </c>
      <c r="E5" s="24">
        <f>D5-C5</f>
        <v>13.262142857142859</v>
      </c>
      <c r="F5" s="24">
        <f>Z23</f>
        <v>13.557631578947372</v>
      </c>
      <c r="G5" s="24">
        <f>E5-F5</f>
        <v>-0.29548872180451369</v>
      </c>
      <c r="H5" s="23">
        <f>194.3</f>
        <v>194.3</v>
      </c>
      <c r="I5" s="25">
        <f>H5*G5</f>
        <v>-57.413458646617016</v>
      </c>
      <c r="L5" s="40"/>
      <c r="M5" s="41">
        <v>13.86</v>
      </c>
      <c r="N5" s="41">
        <v>14.02</v>
      </c>
      <c r="O5" s="41">
        <v>14.05</v>
      </c>
      <c r="P5" s="41">
        <v>14.05</v>
      </c>
      <c r="Q5" s="41">
        <v>14.05</v>
      </c>
      <c r="R5" s="42">
        <v>14.01</v>
      </c>
      <c r="T5" s="40"/>
      <c r="U5" s="41">
        <v>13.84</v>
      </c>
      <c r="V5" s="42"/>
      <c r="X5" s="40"/>
      <c r="Y5" s="41">
        <v>13.46</v>
      </c>
      <c r="Z5" s="42">
        <v>13.61</v>
      </c>
      <c r="AB5" s="40"/>
      <c r="AC5" s="41">
        <v>13.77</v>
      </c>
      <c r="AD5" s="42">
        <v>13.72</v>
      </c>
      <c r="AF5" s="40"/>
      <c r="AG5" s="42">
        <v>13.62</v>
      </c>
      <c r="AI5" s="40"/>
      <c r="AJ5" s="42">
        <v>13.73</v>
      </c>
      <c r="AL5" s="40"/>
      <c r="AM5" s="42">
        <v>13.72</v>
      </c>
      <c r="AO5" s="40"/>
      <c r="AP5" s="41">
        <v>13.64</v>
      </c>
      <c r="AQ5" s="41">
        <v>13.77</v>
      </c>
      <c r="AR5" s="42">
        <v>13.8</v>
      </c>
      <c r="AT5" s="40"/>
      <c r="AU5" s="41">
        <v>13.45</v>
      </c>
      <c r="AV5" s="42">
        <v>13.52</v>
      </c>
      <c r="AX5" s="40"/>
      <c r="AY5" s="42">
        <v>13.71</v>
      </c>
      <c r="BA5" s="40"/>
      <c r="BB5" s="42">
        <v>13.8</v>
      </c>
      <c r="BD5" s="40"/>
      <c r="BE5" s="42">
        <v>13.28</v>
      </c>
      <c r="BG5" s="40"/>
      <c r="BH5" s="42">
        <v>13.84</v>
      </c>
      <c r="BJ5" s="40"/>
      <c r="BK5" s="42">
        <v>13.43</v>
      </c>
      <c r="BM5" s="40"/>
      <c r="BN5" s="41">
        <v>13.7</v>
      </c>
      <c r="BO5" s="41">
        <v>13.75</v>
      </c>
      <c r="BP5" s="41">
        <v>13.45</v>
      </c>
      <c r="BQ5" s="41">
        <v>13.78</v>
      </c>
      <c r="BR5" s="42">
        <v>13.6</v>
      </c>
      <c r="BT5" s="40"/>
      <c r="BU5" s="41">
        <v>13.67</v>
      </c>
      <c r="BV5" s="41">
        <v>13.71</v>
      </c>
      <c r="BW5" s="41">
        <v>13.84</v>
      </c>
      <c r="BX5" s="42">
        <v>13.86</v>
      </c>
      <c r="BZ5" s="40"/>
      <c r="CA5" s="42">
        <v>13.72</v>
      </c>
      <c r="CC5" s="40"/>
      <c r="CD5" s="41">
        <v>13.74</v>
      </c>
      <c r="CE5" s="42">
        <v>13.59</v>
      </c>
      <c r="CG5" s="40"/>
      <c r="CH5" s="41">
        <v>13.7</v>
      </c>
      <c r="CI5" s="42">
        <v>13.37</v>
      </c>
      <c r="CK5" s="40"/>
      <c r="CL5" s="41">
        <v>13.49</v>
      </c>
      <c r="CM5" s="42">
        <v>13.58</v>
      </c>
      <c r="CO5" s="40"/>
      <c r="CP5" s="41">
        <v>13.57</v>
      </c>
      <c r="CQ5" s="42">
        <v>13.44</v>
      </c>
      <c r="CS5" s="40"/>
      <c r="CT5" s="42">
        <v>13.84</v>
      </c>
      <c r="CV5" s="40"/>
      <c r="CW5" s="41">
        <v>13.98</v>
      </c>
      <c r="CX5" s="42">
        <v>14.06</v>
      </c>
      <c r="CZ5" s="40"/>
      <c r="DA5" s="41">
        <v>13.5</v>
      </c>
      <c r="DB5" s="41">
        <v>13.13</v>
      </c>
      <c r="DC5" s="42">
        <v>13.37</v>
      </c>
    </row>
    <row r="6" spans="1:211" ht="14.25" customHeight="1" x14ac:dyDescent="0.25">
      <c r="A6" s="22"/>
      <c r="B6" s="23" t="s">
        <v>63</v>
      </c>
      <c r="C6" s="78">
        <f>0.05+0.15+0.2</f>
        <v>0.4</v>
      </c>
      <c r="D6" s="36">
        <v>13.79</v>
      </c>
      <c r="E6" s="24">
        <f>D6-C6</f>
        <v>13.389999999999999</v>
      </c>
      <c r="F6" s="36">
        <v>13.92</v>
      </c>
      <c r="G6" s="24">
        <f>E6-F6</f>
        <v>-0.53000000000000114</v>
      </c>
      <c r="H6" s="23">
        <f>9.01</f>
        <v>9.01</v>
      </c>
      <c r="I6" s="25">
        <f t="shared" ref="I6" si="2">H6*G6</f>
        <v>-4.7753000000000103</v>
      </c>
      <c r="L6" s="40"/>
      <c r="M6" s="41">
        <v>13.72</v>
      </c>
      <c r="N6" s="41">
        <v>13.49</v>
      </c>
      <c r="O6" s="41">
        <v>13.63</v>
      </c>
      <c r="P6" s="41">
        <v>14.06</v>
      </c>
      <c r="Q6" s="41">
        <v>13.57</v>
      </c>
      <c r="R6" s="42">
        <v>13.84</v>
      </c>
      <c r="T6" s="40"/>
      <c r="U6" s="41">
        <v>13.82</v>
      </c>
      <c r="V6" s="42"/>
      <c r="X6" s="40"/>
      <c r="Y6" s="41">
        <v>13.41</v>
      </c>
      <c r="Z6" s="42">
        <v>13.62</v>
      </c>
      <c r="AB6" s="40"/>
      <c r="AC6" s="41">
        <v>13.77</v>
      </c>
      <c r="AD6" s="42">
        <v>13.63</v>
      </c>
      <c r="AF6" s="40"/>
      <c r="AG6" s="42">
        <v>13.69</v>
      </c>
      <c r="AI6" s="40"/>
      <c r="AJ6" s="42">
        <v>13.76</v>
      </c>
      <c r="AL6" s="40"/>
      <c r="AM6" s="42">
        <v>13.77</v>
      </c>
      <c r="AO6" s="40"/>
      <c r="AP6" s="41">
        <v>13.6</v>
      </c>
      <c r="AQ6" s="41">
        <v>13.76</v>
      </c>
      <c r="AR6" s="42">
        <v>13.76</v>
      </c>
      <c r="AT6" s="40"/>
      <c r="AU6" s="41">
        <v>13.4</v>
      </c>
      <c r="AV6" s="42">
        <v>13.59</v>
      </c>
      <c r="AX6" s="40"/>
      <c r="AY6" s="42">
        <v>13.71</v>
      </c>
      <c r="BA6" s="40"/>
      <c r="BB6" s="42">
        <v>13.74</v>
      </c>
      <c r="BD6" s="40"/>
      <c r="BE6" s="42">
        <v>13.22</v>
      </c>
      <c r="BG6" s="40"/>
      <c r="BH6" s="42">
        <v>13.85</v>
      </c>
      <c r="BJ6" s="40"/>
      <c r="BK6" s="42">
        <v>13.47</v>
      </c>
      <c r="BM6" s="40"/>
      <c r="BN6" s="41">
        <v>13.75</v>
      </c>
      <c r="BO6" s="41">
        <v>13.76</v>
      </c>
      <c r="BP6" s="41">
        <v>13.34</v>
      </c>
      <c r="BQ6" s="41">
        <v>13.37</v>
      </c>
      <c r="BR6" s="42">
        <v>13.73</v>
      </c>
      <c r="BT6" s="40"/>
      <c r="BU6" s="41">
        <v>13.72</v>
      </c>
      <c r="BV6" s="41">
        <v>13.71</v>
      </c>
      <c r="BW6" s="41">
        <v>13.85</v>
      </c>
      <c r="BX6" s="42">
        <v>13.35</v>
      </c>
      <c r="BZ6" s="40"/>
      <c r="CA6" s="42">
        <v>13.71</v>
      </c>
      <c r="CC6" s="40"/>
      <c r="CD6" s="41">
        <v>13.52</v>
      </c>
      <c r="CE6" s="42">
        <v>13.73</v>
      </c>
      <c r="CG6" s="40"/>
      <c r="CH6" s="41">
        <v>13.7</v>
      </c>
      <c r="CI6" s="42">
        <v>13.4</v>
      </c>
      <c r="CK6" s="40"/>
      <c r="CL6" s="41">
        <v>13.52</v>
      </c>
      <c r="CM6" s="42">
        <v>13.43</v>
      </c>
      <c r="CO6" s="40"/>
      <c r="CP6" s="41">
        <v>13.72</v>
      </c>
      <c r="CQ6" s="42">
        <v>13.48</v>
      </c>
      <c r="CS6" s="40"/>
      <c r="CT6" s="42">
        <v>13.85</v>
      </c>
      <c r="CV6" s="40"/>
      <c r="CW6" s="41">
        <v>14</v>
      </c>
      <c r="CX6" s="42">
        <v>14.06</v>
      </c>
      <c r="CZ6" s="40"/>
      <c r="DA6" s="41">
        <v>13.49</v>
      </c>
      <c r="DB6" s="41">
        <v>13.27</v>
      </c>
      <c r="DC6" s="42">
        <v>13.36</v>
      </c>
    </row>
    <row r="7" spans="1:211" ht="14.25" customHeight="1" x14ac:dyDescent="0.25">
      <c r="A7" s="22"/>
      <c r="B7" s="23" t="s">
        <v>63</v>
      </c>
      <c r="C7" s="78">
        <f>0.05+0.15+0.2</f>
        <v>0.4</v>
      </c>
      <c r="D7" s="36">
        <v>13.75</v>
      </c>
      <c r="E7" s="24">
        <f>D7-C7</f>
        <v>13.35</v>
      </c>
      <c r="F7" s="24">
        <v>13.13</v>
      </c>
      <c r="G7" s="24">
        <f>E7-F7</f>
        <v>0.21999999999999886</v>
      </c>
      <c r="H7" s="23">
        <v>3.32</v>
      </c>
      <c r="I7" s="25">
        <f t="shared" si="1"/>
        <v>0.73039999999999616</v>
      </c>
      <c r="L7" s="40"/>
      <c r="M7" s="41">
        <v>13.88</v>
      </c>
      <c r="N7" s="41">
        <v>13.89</v>
      </c>
      <c r="O7" s="41">
        <v>13.77</v>
      </c>
      <c r="P7" s="41">
        <v>13.58</v>
      </c>
      <c r="Q7" s="41">
        <v>13.57</v>
      </c>
      <c r="R7" s="42">
        <v>13.91</v>
      </c>
      <c r="T7" s="40"/>
      <c r="U7" s="41">
        <v>13.83</v>
      </c>
      <c r="V7" s="42"/>
      <c r="X7" s="40"/>
      <c r="Y7" s="41">
        <v>13.44</v>
      </c>
      <c r="Z7" s="42">
        <v>13.61</v>
      </c>
      <c r="AB7" s="40"/>
      <c r="AC7" s="41">
        <v>13.8</v>
      </c>
      <c r="AD7" s="42">
        <v>13.71</v>
      </c>
      <c r="AF7" s="40"/>
      <c r="AG7" s="42">
        <v>13.77</v>
      </c>
      <c r="AI7" s="40"/>
      <c r="AJ7" s="42">
        <v>13.8</v>
      </c>
      <c r="AL7" s="40"/>
      <c r="AM7" s="42">
        <v>13.75</v>
      </c>
      <c r="AO7" s="40"/>
      <c r="AP7" s="41">
        <v>13.44</v>
      </c>
      <c r="AQ7" s="41">
        <v>13.69</v>
      </c>
      <c r="AR7" s="42">
        <v>13.71</v>
      </c>
      <c r="AT7" s="40"/>
      <c r="AU7" s="41">
        <v>13.35</v>
      </c>
      <c r="AV7" s="42">
        <v>13.74</v>
      </c>
      <c r="AX7" s="40"/>
      <c r="AY7" s="42">
        <v>13.72</v>
      </c>
      <c r="BA7" s="40"/>
      <c r="BB7" s="42">
        <v>13.76</v>
      </c>
      <c r="BD7" s="40"/>
      <c r="BE7" s="42">
        <v>13.26</v>
      </c>
      <c r="BG7" s="40"/>
      <c r="BH7" s="42">
        <v>13.72</v>
      </c>
      <c r="BJ7" s="40"/>
      <c r="BK7" s="42">
        <v>13.39</v>
      </c>
      <c r="BM7" s="40"/>
      <c r="BN7" s="41">
        <v>13.76</v>
      </c>
      <c r="BO7" s="41">
        <v>13.75</v>
      </c>
      <c r="BP7" s="41">
        <v>13.93</v>
      </c>
      <c r="BQ7" s="41">
        <v>13.27</v>
      </c>
      <c r="BR7" s="42">
        <v>13.83</v>
      </c>
      <c r="BT7" s="40"/>
      <c r="BU7" s="41">
        <v>13.76</v>
      </c>
      <c r="BV7" s="41">
        <v>13.69</v>
      </c>
      <c r="BW7" s="41">
        <v>13.76</v>
      </c>
      <c r="BX7" s="42">
        <v>13.85</v>
      </c>
      <c r="BZ7" s="40"/>
      <c r="CA7" s="42">
        <v>13.72</v>
      </c>
      <c r="CC7" s="40"/>
      <c r="CD7" s="41">
        <v>13.71</v>
      </c>
      <c r="CE7" s="42">
        <v>13.56</v>
      </c>
      <c r="CG7" s="40"/>
      <c r="CH7" s="41">
        <v>13.71</v>
      </c>
      <c r="CI7" s="42">
        <v>13.42</v>
      </c>
      <c r="CK7" s="40"/>
      <c r="CL7" s="41">
        <v>13.56</v>
      </c>
      <c r="CM7" s="42">
        <v>13.44</v>
      </c>
      <c r="CO7" s="40"/>
      <c r="CP7" s="41">
        <v>13.42</v>
      </c>
      <c r="CQ7" s="42">
        <v>13.54</v>
      </c>
      <c r="CS7" s="40"/>
      <c r="CT7" s="42">
        <v>13.72</v>
      </c>
      <c r="CV7" s="40"/>
      <c r="CW7" s="41">
        <v>14.02</v>
      </c>
      <c r="CX7" s="42">
        <v>14.06</v>
      </c>
      <c r="CZ7" s="40"/>
      <c r="DA7" s="41">
        <v>13.56</v>
      </c>
      <c r="DB7" s="41">
        <v>13.18</v>
      </c>
      <c r="DC7" s="42">
        <v>13.35</v>
      </c>
    </row>
    <row r="8" spans="1:211" ht="14.25" customHeight="1" x14ac:dyDescent="0.25">
      <c r="A8" s="22"/>
      <c r="B8" s="23"/>
      <c r="C8" s="28"/>
      <c r="D8" s="36"/>
      <c r="E8" s="24"/>
      <c r="F8" s="24"/>
      <c r="G8" s="24"/>
      <c r="H8" s="23"/>
      <c r="I8" s="25">
        <f t="shared" si="1"/>
        <v>0</v>
      </c>
      <c r="L8" s="40"/>
      <c r="M8" s="41">
        <v>13.88</v>
      </c>
      <c r="N8" s="41">
        <v>14.05</v>
      </c>
      <c r="O8" s="41">
        <v>14.05</v>
      </c>
      <c r="P8" s="41">
        <v>13.73</v>
      </c>
      <c r="Q8" s="41">
        <v>13.9</v>
      </c>
      <c r="R8" s="42">
        <v>13.95</v>
      </c>
      <c r="T8" s="40"/>
      <c r="U8" s="41">
        <v>13.83</v>
      </c>
      <c r="V8" s="42"/>
      <c r="X8" s="40"/>
      <c r="Y8" s="41">
        <v>13.46</v>
      </c>
      <c r="Z8" s="42">
        <v>13.6</v>
      </c>
      <c r="AB8" s="40"/>
      <c r="AC8" s="41">
        <v>13.82</v>
      </c>
      <c r="AD8" s="42">
        <v>13.71</v>
      </c>
      <c r="AF8" s="40"/>
      <c r="AG8" s="42">
        <v>13.7</v>
      </c>
      <c r="AI8" s="40"/>
      <c r="AJ8" s="42">
        <v>13.77</v>
      </c>
      <c r="AL8" s="40"/>
      <c r="AM8" s="42">
        <v>13.62</v>
      </c>
      <c r="AO8" s="40"/>
      <c r="AP8" s="41">
        <v>13.45</v>
      </c>
      <c r="AQ8" s="41">
        <v>13.7</v>
      </c>
      <c r="AR8" s="42">
        <v>13.48</v>
      </c>
      <c r="AT8" s="40"/>
      <c r="AU8" s="41">
        <v>13.33</v>
      </c>
      <c r="AV8" s="42">
        <v>13.71</v>
      </c>
      <c r="AX8" s="40"/>
      <c r="AY8" s="42">
        <v>13.72</v>
      </c>
      <c r="BA8" s="40"/>
      <c r="BB8" s="42">
        <v>13.69</v>
      </c>
      <c r="BD8" s="40"/>
      <c r="BE8" s="42">
        <v>13.16</v>
      </c>
      <c r="BG8" s="40"/>
      <c r="BH8" s="42">
        <v>13.52</v>
      </c>
      <c r="BJ8" s="40"/>
      <c r="BK8" s="42">
        <v>13.42</v>
      </c>
      <c r="BM8" s="40"/>
      <c r="BN8" s="41">
        <v>13.73</v>
      </c>
      <c r="BO8" s="41">
        <v>13.75</v>
      </c>
      <c r="BP8" s="41">
        <v>13.92</v>
      </c>
      <c r="BQ8" s="41">
        <v>13.34</v>
      </c>
      <c r="BR8" s="42">
        <v>13.73</v>
      </c>
      <c r="BT8" s="40"/>
      <c r="BU8" s="41">
        <v>13.83</v>
      </c>
      <c r="BV8" s="41">
        <v>13.69</v>
      </c>
      <c r="BW8" s="41">
        <v>13.41</v>
      </c>
      <c r="BX8" s="42">
        <v>13.26</v>
      </c>
      <c r="BZ8" s="40"/>
      <c r="CA8" s="42">
        <v>13.73</v>
      </c>
      <c r="CC8" s="40"/>
      <c r="CD8" s="41">
        <v>13.46</v>
      </c>
      <c r="CE8" s="42">
        <v>13.54</v>
      </c>
      <c r="CG8" s="40"/>
      <c r="CH8" s="41">
        <v>13.79</v>
      </c>
      <c r="CI8" s="42">
        <v>13.44</v>
      </c>
      <c r="CK8" s="40"/>
      <c r="CL8" s="41">
        <v>13.51</v>
      </c>
      <c r="CM8" s="42">
        <v>13.53</v>
      </c>
      <c r="CO8" s="40"/>
      <c r="CP8" s="41">
        <v>13.65</v>
      </c>
      <c r="CQ8" s="42"/>
      <c r="CS8" s="40"/>
      <c r="CT8" s="42">
        <v>13.71</v>
      </c>
      <c r="CV8" s="40"/>
      <c r="CW8" s="41">
        <v>14.03</v>
      </c>
      <c r="CX8" s="42">
        <v>14.06</v>
      </c>
      <c r="CZ8" s="40"/>
      <c r="DA8" s="41">
        <v>13.43</v>
      </c>
      <c r="DB8" s="41">
        <v>13.44</v>
      </c>
      <c r="DC8" s="42">
        <v>13.7</v>
      </c>
    </row>
    <row r="9" spans="1:211" ht="14.25" customHeight="1" x14ac:dyDescent="0.25">
      <c r="A9" s="22" t="s">
        <v>35</v>
      </c>
      <c r="B9" s="23" t="s">
        <v>64</v>
      </c>
      <c r="C9" s="28">
        <f>((0.05+0.07+0.35+0.15)+(0.05+0.07+0.35+0.15-0.15))/2</f>
        <v>0.54499999999999993</v>
      </c>
      <c r="D9" s="36">
        <f>13.75</f>
        <v>13.75</v>
      </c>
      <c r="E9" s="24">
        <f>D9-C9</f>
        <v>13.205</v>
      </c>
      <c r="F9" s="24">
        <v>13.53</v>
      </c>
      <c r="G9" s="24">
        <f>E9-F9</f>
        <v>-0.32499999999999929</v>
      </c>
      <c r="H9" s="23">
        <f>1.82+0.15*2.6*2</f>
        <v>2.6</v>
      </c>
      <c r="I9" s="25">
        <f t="shared" si="1"/>
        <v>-0.8449999999999982</v>
      </c>
      <c r="L9" s="40"/>
      <c r="M9" s="41">
        <v>13.67</v>
      </c>
      <c r="N9" s="41">
        <v>14.03</v>
      </c>
      <c r="O9" s="41">
        <v>14.05</v>
      </c>
      <c r="P9" s="41">
        <v>14.05</v>
      </c>
      <c r="Q9" s="41">
        <v>14.04</v>
      </c>
      <c r="R9" s="42">
        <v>13.99</v>
      </c>
      <c r="T9" s="40"/>
      <c r="U9" s="41">
        <v>13.83</v>
      </c>
      <c r="V9" s="42"/>
      <c r="X9" s="40"/>
      <c r="Y9" s="41">
        <v>13.47</v>
      </c>
      <c r="Z9" s="42">
        <v>13.59</v>
      </c>
      <c r="AB9" s="40"/>
      <c r="AC9" s="41">
        <v>13.82</v>
      </c>
      <c r="AD9" s="42">
        <v>13.81</v>
      </c>
      <c r="AF9" s="40"/>
      <c r="AG9" s="42">
        <v>13.72</v>
      </c>
      <c r="AI9" s="40"/>
      <c r="AJ9" s="42">
        <v>13.79</v>
      </c>
      <c r="AL9" s="40"/>
      <c r="AM9" s="42">
        <v>13.5</v>
      </c>
      <c r="AO9" s="40"/>
      <c r="AP9" s="41">
        <v>13.42</v>
      </c>
      <c r="AQ9" s="41">
        <v>13.71</v>
      </c>
      <c r="AR9" s="42">
        <v>13.44</v>
      </c>
      <c r="AT9" s="40"/>
      <c r="AU9" s="41">
        <v>13.3</v>
      </c>
      <c r="AV9" s="42">
        <v>13.78</v>
      </c>
      <c r="AX9" s="40"/>
      <c r="AY9" s="42">
        <v>13.73</v>
      </c>
      <c r="BA9" s="40"/>
      <c r="BB9" s="42">
        <v>13.68</v>
      </c>
      <c r="BD9" s="40"/>
      <c r="BE9" s="42">
        <v>13.19</v>
      </c>
      <c r="BG9" s="40"/>
      <c r="BH9" s="42">
        <v>13.5</v>
      </c>
      <c r="BJ9" s="40"/>
      <c r="BK9" s="42">
        <v>13.42</v>
      </c>
      <c r="BM9" s="40"/>
      <c r="BN9" s="41">
        <v>13.62</v>
      </c>
      <c r="BO9" s="41">
        <v>13.79</v>
      </c>
      <c r="BP9" s="41">
        <v>13.9</v>
      </c>
      <c r="BQ9" s="41">
        <v>13.25</v>
      </c>
      <c r="BR9" s="42">
        <v>13.82</v>
      </c>
      <c r="BT9" s="40"/>
      <c r="BU9" s="41">
        <v>13.68</v>
      </c>
      <c r="BV9" s="41">
        <v>13.67</v>
      </c>
      <c r="BW9" s="41">
        <v>13.28</v>
      </c>
      <c r="BX9" s="42">
        <v>13.15</v>
      </c>
      <c r="BZ9" s="40"/>
      <c r="CA9" s="42">
        <v>13.72</v>
      </c>
      <c r="CC9" s="40"/>
      <c r="CD9" s="41">
        <v>13.73</v>
      </c>
      <c r="CE9" s="42">
        <v>13.41</v>
      </c>
      <c r="CG9" s="40"/>
      <c r="CH9" s="41">
        <v>13.82</v>
      </c>
      <c r="CI9" s="42">
        <v>13.64</v>
      </c>
      <c r="CK9" s="40"/>
      <c r="CL9" s="41">
        <v>13.53</v>
      </c>
      <c r="CM9" s="42">
        <v>13.46</v>
      </c>
      <c r="CO9" s="40"/>
      <c r="CP9" s="41">
        <v>13.41</v>
      </c>
      <c r="CQ9" s="42"/>
      <c r="CS9" s="40"/>
      <c r="CT9" s="42">
        <v>13.7</v>
      </c>
      <c r="CV9" s="40"/>
      <c r="CW9" s="41">
        <v>14.04</v>
      </c>
      <c r="CX9" s="42">
        <v>14.05</v>
      </c>
      <c r="CZ9" s="40"/>
      <c r="DA9" s="41">
        <v>13.34</v>
      </c>
      <c r="DB9" s="41">
        <v>13.48</v>
      </c>
      <c r="DC9" s="42">
        <v>13.7</v>
      </c>
    </row>
    <row r="10" spans="1:211" x14ac:dyDescent="0.25">
      <c r="A10" s="26"/>
      <c r="B10" s="23" t="s">
        <v>64</v>
      </c>
      <c r="C10" s="28">
        <f>((0.05+0.07+0.35+0.15)+(0.05+0.07+0.35+0.15-0.15))/2</f>
        <v>0.54499999999999993</v>
      </c>
      <c r="D10" s="36">
        <v>13.75</v>
      </c>
      <c r="E10" s="24">
        <f>D10-C10</f>
        <v>13.205</v>
      </c>
      <c r="F10" s="24">
        <v>13.43</v>
      </c>
      <c r="G10" s="24">
        <f>E10-F10</f>
        <v>-0.22499999999999964</v>
      </c>
      <c r="H10" s="23">
        <f>1.82+0.15*2.6*2</f>
        <v>2.6</v>
      </c>
      <c r="I10" s="25">
        <f t="shared" si="1"/>
        <v>-0.58499999999999908</v>
      </c>
      <c r="L10" s="40"/>
      <c r="M10" s="41">
        <v>13.92</v>
      </c>
      <c r="N10" s="41">
        <v>13.55</v>
      </c>
      <c r="O10" s="41">
        <v>13.57</v>
      </c>
      <c r="P10" s="41">
        <v>14.06</v>
      </c>
      <c r="Q10" s="41">
        <v>13.56</v>
      </c>
      <c r="R10" s="42">
        <v>13.95</v>
      </c>
      <c r="T10" s="40"/>
      <c r="U10" s="41">
        <v>13.84</v>
      </c>
      <c r="V10" s="42"/>
      <c r="X10" s="40"/>
      <c r="Y10" s="41">
        <v>13.49</v>
      </c>
      <c r="Z10" s="42">
        <v>13.58</v>
      </c>
      <c r="AB10" s="40"/>
      <c r="AC10" s="41">
        <v>13.82</v>
      </c>
      <c r="AD10" s="42">
        <v>13.69</v>
      </c>
      <c r="AF10" s="40"/>
      <c r="AG10" s="42">
        <v>13.62</v>
      </c>
      <c r="AI10" s="40"/>
      <c r="AJ10" s="42">
        <v>13.8</v>
      </c>
      <c r="AL10" s="40"/>
      <c r="AM10" s="42">
        <v>13.52</v>
      </c>
      <c r="AO10" s="40"/>
      <c r="AP10" s="41">
        <v>13.4</v>
      </c>
      <c r="AQ10" s="41">
        <v>13.7</v>
      </c>
      <c r="AR10" s="42">
        <v>13.41</v>
      </c>
      <c r="AT10" s="40"/>
      <c r="AU10" s="41">
        <v>13.31</v>
      </c>
      <c r="AV10" s="42">
        <v>13.73</v>
      </c>
      <c r="AX10" s="40"/>
      <c r="AY10" s="42">
        <v>13.73</v>
      </c>
      <c r="BA10" s="40"/>
      <c r="BB10" s="42">
        <v>13.71</v>
      </c>
      <c r="BD10" s="40"/>
      <c r="BE10" s="42">
        <v>13.13</v>
      </c>
      <c r="BG10" s="40"/>
      <c r="BH10" s="42">
        <v>13.7</v>
      </c>
      <c r="BJ10" s="40"/>
      <c r="BK10" s="42">
        <v>13.4</v>
      </c>
      <c r="BM10" s="40"/>
      <c r="BN10" s="41">
        <v>13.61</v>
      </c>
      <c r="BO10" s="41">
        <v>13.8</v>
      </c>
      <c r="BP10" s="41">
        <v>13.87</v>
      </c>
      <c r="BQ10" s="41">
        <v>13.26</v>
      </c>
      <c r="BR10" s="42">
        <v>13.82</v>
      </c>
      <c r="BT10" s="40"/>
      <c r="BU10" s="41">
        <v>13.66</v>
      </c>
      <c r="BV10" s="41">
        <v>13.66</v>
      </c>
      <c r="BW10" s="41">
        <v>13.86</v>
      </c>
      <c r="BX10" s="42">
        <v>13.85</v>
      </c>
      <c r="BZ10" s="40"/>
      <c r="CA10" s="42">
        <v>13.73</v>
      </c>
      <c r="CC10" s="40"/>
      <c r="CD10" s="41">
        <v>13.73</v>
      </c>
      <c r="CE10" s="42">
        <v>13.37</v>
      </c>
      <c r="CG10" s="40"/>
      <c r="CH10" s="41">
        <v>13.81</v>
      </c>
      <c r="CI10" s="42">
        <v>13.53</v>
      </c>
      <c r="CK10" s="40"/>
      <c r="CL10" s="41">
        <v>13.43</v>
      </c>
      <c r="CM10" s="42">
        <v>13.58</v>
      </c>
      <c r="CO10" s="40"/>
      <c r="CP10" s="41">
        <v>13.4</v>
      </c>
      <c r="CQ10" s="42"/>
      <c r="CS10" s="40"/>
      <c r="CT10" s="42">
        <v>13.69</v>
      </c>
      <c r="CV10" s="40"/>
      <c r="CW10" s="41">
        <v>14.05</v>
      </c>
      <c r="CX10" s="42">
        <v>14.05</v>
      </c>
      <c r="CZ10" s="40"/>
      <c r="DA10" s="41">
        <v>13.31</v>
      </c>
      <c r="DB10" s="41">
        <v>13.54</v>
      </c>
      <c r="DC10" s="42">
        <v>13.79</v>
      </c>
    </row>
    <row r="11" spans="1:211" x14ac:dyDescent="0.25">
      <c r="A11" s="26"/>
      <c r="B11" s="23" t="s">
        <v>64</v>
      </c>
      <c r="C11" s="28">
        <f>((0.05+0.07+0.35+0.15)+(0.05+0.07+0.35+0.15-0.15))/2</f>
        <v>0.54499999999999993</v>
      </c>
      <c r="D11" s="36">
        <v>13.75</v>
      </c>
      <c r="E11" s="24">
        <f>D11-C11</f>
        <v>13.205</v>
      </c>
      <c r="F11" s="24">
        <f>(13.47+13.42+13.49)/3</f>
        <v>13.46</v>
      </c>
      <c r="G11" s="24">
        <f>E11-F11</f>
        <v>-0.25500000000000078</v>
      </c>
      <c r="H11" s="23">
        <f>(1.82+0.15*2.6*2)*3</f>
        <v>7.8000000000000007</v>
      </c>
      <c r="I11" s="25">
        <f t="shared" si="1"/>
        <v>-1.9890000000000063</v>
      </c>
      <c r="L11" s="40"/>
      <c r="M11" s="41">
        <v>13.7</v>
      </c>
      <c r="N11" s="41">
        <v>13.91</v>
      </c>
      <c r="O11" s="41">
        <v>13.59</v>
      </c>
      <c r="P11" s="41">
        <v>13.58</v>
      </c>
      <c r="Q11" s="41">
        <v>13.57</v>
      </c>
      <c r="R11" s="42">
        <v>13.92</v>
      </c>
      <c r="T11" s="40"/>
      <c r="U11" s="41">
        <v>13.84</v>
      </c>
      <c r="V11" s="42"/>
      <c r="X11" s="40"/>
      <c r="Y11" s="41">
        <v>13.55</v>
      </c>
      <c r="Z11" s="42">
        <v>13.57</v>
      </c>
      <c r="AB11" s="40"/>
      <c r="AC11" s="41">
        <v>13.77</v>
      </c>
      <c r="AD11" s="42">
        <v>13.76</v>
      </c>
      <c r="AF11" s="40"/>
      <c r="AG11" s="42">
        <v>13.61</v>
      </c>
      <c r="AI11" s="40"/>
      <c r="AJ11" s="42">
        <v>13.82</v>
      </c>
      <c r="AL11" s="40"/>
      <c r="AM11" s="42">
        <v>13.72</v>
      </c>
      <c r="AO11" s="40"/>
      <c r="AP11" s="41">
        <v>13.35</v>
      </c>
      <c r="AQ11" s="41">
        <v>13.71</v>
      </c>
      <c r="AR11" s="42">
        <v>13.68</v>
      </c>
      <c r="AT11" s="40"/>
      <c r="AU11" s="41">
        <v>13.28</v>
      </c>
      <c r="AV11" s="42">
        <v>13.76</v>
      </c>
      <c r="AX11" s="40"/>
      <c r="AY11" s="42">
        <v>13.7</v>
      </c>
      <c r="BA11" s="40"/>
      <c r="BB11" s="42">
        <v>13.67</v>
      </c>
      <c r="BD11" s="40"/>
      <c r="BE11" s="42">
        <v>13.16</v>
      </c>
      <c r="BG11" s="40"/>
      <c r="BH11" s="42">
        <v>13.62</v>
      </c>
      <c r="BJ11" s="40"/>
      <c r="BK11" s="42">
        <v>13.39</v>
      </c>
      <c r="BM11" s="40"/>
      <c r="BN11" s="41">
        <v>13.76</v>
      </c>
      <c r="BO11" s="41">
        <v>13.79</v>
      </c>
      <c r="BP11" s="41">
        <v>13.49</v>
      </c>
      <c r="BQ11" s="41">
        <v>13.31</v>
      </c>
      <c r="BR11" s="42">
        <v>13.82</v>
      </c>
      <c r="BT11" s="40"/>
      <c r="BU11" s="41">
        <v>13.69</v>
      </c>
      <c r="BV11" s="41">
        <v>13.67</v>
      </c>
      <c r="BW11" s="41">
        <v>13.86</v>
      </c>
      <c r="BX11" s="42">
        <v>13.84</v>
      </c>
      <c r="BZ11" s="40"/>
      <c r="CA11" s="42">
        <v>13.73</v>
      </c>
      <c r="CC11" s="40"/>
      <c r="CD11" s="41">
        <v>13.67</v>
      </c>
      <c r="CE11" s="42">
        <v>13.36</v>
      </c>
      <c r="CG11" s="40"/>
      <c r="CH11" s="41">
        <v>13.62</v>
      </c>
      <c r="CI11" s="42"/>
      <c r="CK11" s="40"/>
      <c r="CL11" s="41">
        <v>13.53</v>
      </c>
      <c r="CM11" s="42">
        <v>13.47</v>
      </c>
      <c r="CO11" s="40"/>
      <c r="CP11" s="41">
        <v>13.39</v>
      </c>
      <c r="CQ11" s="42"/>
      <c r="CS11" s="40"/>
      <c r="CT11" s="42">
        <v>13.79</v>
      </c>
      <c r="CV11" s="40"/>
      <c r="CW11" s="41">
        <v>14.06</v>
      </c>
      <c r="CX11" s="42">
        <v>14.04</v>
      </c>
      <c r="CZ11" s="40"/>
      <c r="DA11" s="41">
        <v>13.44</v>
      </c>
      <c r="DB11" s="41">
        <v>13.41</v>
      </c>
      <c r="DC11" s="42">
        <v>13.82</v>
      </c>
    </row>
    <row r="12" spans="1:211" x14ac:dyDescent="0.25">
      <c r="A12" s="26"/>
      <c r="B12" s="23"/>
      <c r="C12" s="28"/>
      <c r="D12" s="36"/>
      <c r="E12" s="24"/>
      <c r="F12" s="36"/>
      <c r="G12" s="24"/>
      <c r="H12" s="23"/>
      <c r="I12" s="25">
        <f t="shared" si="1"/>
        <v>0</v>
      </c>
      <c r="L12" s="40"/>
      <c r="M12" s="41">
        <v>13.94</v>
      </c>
      <c r="N12" s="41">
        <v>14.05</v>
      </c>
      <c r="O12" s="41">
        <v>14.05</v>
      </c>
      <c r="P12" s="41">
        <v>13.8</v>
      </c>
      <c r="Q12" s="41">
        <v>13.78</v>
      </c>
      <c r="R12" s="42">
        <v>13.92</v>
      </c>
      <c r="T12" s="40"/>
      <c r="U12" s="41">
        <v>13.82</v>
      </c>
      <c r="V12" s="42"/>
      <c r="X12" s="40"/>
      <c r="Y12" s="41">
        <v>13.53</v>
      </c>
      <c r="Z12" s="42">
        <v>13.56</v>
      </c>
      <c r="AB12" s="40"/>
      <c r="AC12" s="41">
        <v>13.83</v>
      </c>
      <c r="AD12" s="42">
        <v>13.78</v>
      </c>
      <c r="AF12" s="40"/>
      <c r="AG12" s="42">
        <v>13.67</v>
      </c>
      <c r="AI12" s="40"/>
      <c r="AJ12" s="42">
        <v>13.72</v>
      </c>
      <c r="AL12" s="40"/>
      <c r="AM12" s="42">
        <v>13.85</v>
      </c>
      <c r="AO12" s="40"/>
      <c r="AP12" s="41">
        <v>13.33</v>
      </c>
      <c r="AQ12" s="41">
        <v>13.72</v>
      </c>
      <c r="AR12" s="42">
        <v>13.69</v>
      </c>
      <c r="AT12" s="40"/>
      <c r="AU12" s="41">
        <v>13.31</v>
      </c>
      <c r="AV12" s="42"/>
      <c r="AX12" s="40"/>
      <c r="AY12" s="42">
        <v>13.69</v>
      </c>
      <c r="BA12" s="40"/>
      <c r="BB12" s="42"/>
      <c r="BD12" s="40"/>
      <c r="BE12" s="42">
        <v>13.15</v>
      </c>
      <c r="BG12" s="40"/>
      <c r="BH12" s="42">
        <v>13.69</v>
      </c>
      <c r="BJ12" s="40"/>
      <c r="BK12" s="42"/>
      <c r="BM12" s="40"/>
      <c r="BN12" s="41">
        <v>13.71</v>
      </c>
      <c r="BO12" s="41">
        <v>13.76</v>
      </c>
      <c r="BP12" s="41">
        <v>13.41</v>
      </c>
      <c r="BQ12" s="41">
        <v>13.27</v>
      </c>
      <c r="BR12" s="42">
        <v>13.83</v>
      </c>
      <c r="BT12" s="40"/>
      <c r="BU12" s="41">
        <v>13.71</v>
      </c>
      <c r="BV12" s="41">
        <v>13.68</v>
      </c>
      <c r="BW12" s="41">
        <v>13.78</v>
      </c>
      <c r="BX12" s="42">
        <v>13.83</v>
      </c>
      <c r="BZ12" s="40"/>
      <c r="CA12" s="42">
        <v>13.7</v>
      </c>
      <c r="CC12" s="40"/>
      <c r="CD12" s="41">
        <v>13.62</v>
      </c>
      <c r="CE12" s="42"/>
      <c r="CG12" s="40"/>
      <c r="CH12" s="41">
        <v>13.44</v>
      </c>
      <c r="CI12" s="42"/>
      <c r="CK12" s="40"/>
      <c r="CL12" s="41">
        <v>13.34</v>
      </c>
      <c r="CM12" s="42">
        <v>13.59</v>
      </c>
      <c r="CO12" s="40"/>
      <c r="CP12" s="41">
        <v>13.41</v>
      </c>
      <c r="CQ12" s="42"/>
      <c r="CS12" s="40"/>
      <c r="CT12" s="42">
        <v>13.86</v>
      </c>
      <c r="CV12" s="40"/>
      <c r="CW12" s="41">
        <v>14.06</v>
      </c>
      <c r="CX12" s="42">
        <v>14.03</v>
      </c>
      <c r="CZ12" s="40"/>
      <c r="DA12" s="41">
        <v>13.43</v>
      </c>
      <c r="DB12" s="41">
        <v>13.54</v>
      </c>
      <c r="DC12" s="42">
        <v>13.81</v>
      </c>
    </row>
    <row r="13" spans="1:211" ht="30" x14ac:dyDescent="0.25">
      <c r="A13" s="26" t="s">
        <v>23</v>
      </c>
      <c r="B13" s="27" t="s">
        <v>68</v>
      </c>
      <c r="C13" s="78">
        <f>0.05+0.15+0.2</f>
        <v>0.4</v>
      </c>
      <c r="D13" s="36">
        <f>AC47</f>
        <v>13.737692307692308</v>
      </c>
      <c r="E13" s="24">
        <f>D13-C13</f>
        <v>13.337692307692308</v>
      </c>
      <c r="F13" s="24">
        <f>AD23</f>
        <v>13.753333333333337</v>
      </c>
      <c r="G13" s="24">
        <f>E13-F13</f>
        <v>-0.41564102564102967</v>
      </c>
      <c r="H13" s="23">
        <v>220.3</v>
      </c>
      <c r="I13" s="25">
        <f t="shared" si="1"/>
        <v>-91.565717948718842</v>
      </c>
      <c r="L13" s="40"/>
      <c r="M13" s="41">
        <v>13.74</v>
      </c>
      <c r="N13" s="41">
        <v>14.04</v>
      </c>
      <c r="O13" s="41">
        <v>14.05</v>
      </c>
      <c r="P13" s="41">
        <v>14.05</v>
      </c>
      <c r="Q13" s="41">
        <v>14.05</v>
      </c>
      <c r="R13" s="42">
        <v>13.98</v>
      </c>
      <c r="T13" s="40"/>
      <c r="U13" s="41">
        <v>13.82</v>
      </c>
      <c r="V13" s="42"/>
      <c r="X13" s="40"/>
      <c r="Y13" s="41">
        <v>13.61</v>
      </c>
      <c r="Z13" s="42">
        <v>13.52</v>
      </c>
      <c r="AB13" s="40"/>
      <c r="AC13" s="41">
        <v>13.8</v>
      </c>
      <c r="AD13" s="42">
        <v>13.73</v>
      </c>
      <c r="AF13" s="40"/>
      <c r="AG13" s="42">
        <v>13.75</v>
      </c>
      <c r="AI13" s="40"/>
      <c r="AJ13" s="42">
        <v>13.78</v>
      </c>
      <c r="AL13" s="40"/>
      <c r="AM13" s="42">
        <v>13.49</v>
      </c>
      <c r="AO13" s="40"/>
      <c r="AP13" s="41">
        <v>13.31</v>
      </c>
      <c r="AQ13" s="41">
        <v>13.73</v>
      </c>
      <c r="AR13" s="42">
        <v>13.69</v>
      </c>
      <c r="AT13" s="40"/>
      <c r="AU13" s="41">
        <v>13.27</v>
      </c>
      <c r="AV13" s="42"/>
      <c r="AX13" s="40"/>
      <c r="AY13" s="42"/>
      <c r="BA13" s="40"/>
      <c r="BB13" s="42"/>
      <c r="BD13" s="40"/>
      <c r="BE13" s="42"/>
      <c r="BG13" s="40"/>
      <c r="BH13" s="42">
        <v>13.79</v>
      </c>
      <c r="BJ13" s="40"/>
      <c r="BK13" s="42"/>
      <c r="BM13" s="40"/>
      <c r="BN13" s="41">
        <v>13.65</v>
      </c>
      <c r="BO13" s="41">
        <v>13.66</v>
      </c>
      <c r="BP13" s="41">
        <v>13.44</v>
      </c>
      <c r="BQ13" s="41">
        <v>13.27</v>
      </c>
      <c r="BR13" s="42"/>
      <c r="BT13" s="40"/>
      <c r="BU13" s="41">
        <v>13.72</v>
      </c>
      <c r="BV13" s="41">
        <v>13.7</v>
      </c>
      <c r="BW13" s="41">
        <v>13.42</v>
      </c>
      <c r="BX13" s="42">
        <v>13.83</v>
      </c>
      <c r="BZ13" s="40"/>
      <c r="CA13" s="42">
        <v>13.78</v>
      </c>
      <c r="CC13" s="40"/>
      <c r="CD13" s="41">
        <v>13.59</v>
      </c>
      <c r="CE13" s="42"/>
      <c r="CG13" s="40"/>
      <c r="CH13" s="41">
        <v>13.28</v>
      </c>
      <c r="CI13" s="42"/>
      <c r="CK13" s="40"/>
      <c r="CL13" s="41">
        <v>13.49</v>
      </c>
      <c r="CM13" s="42">
        <v>13.47</v>
      </c>
      <c r="CO13" s="40"/>
      <c r="CP13" s="41">
        <v>13.42</v>
      </c>
      <c r="CQ13" s="42"/>
      <c r="CS13" s="40"/>
      <c r="CT13" s="42">
        <v>13.88</v>
      </c>
      <c r="CV13" s="40"/>
      <c r="CW13" s="41">
        <v>14.05</v>
      </c>
      <c r="CX13" s="42">
        <v>14.04</v>
      </c>
      <c r="CZ13" s="40"/>
      <c r="DA13" s="41">
        <v>13.44</v>
      </c>
      <c r="DB13" s="41">
        <v>13.56</v>
      </c>
      <c r="DC13" s="42">
        <v>13.62</v>
      </c>
    </row>
    <row r="14" spans="1:211" x14ac:dyDescent="0.25">
      <c r="A14" s="22"/>
      <c r="B14" s="23"/>
      <c r="C14" s="28"/>
      <c r="D14" s="36"/>
      <c r="E14" s="24"/>
      <c r="F14" s="24"/>
      <c r="G14" s="24"/>
      <c r="H14" s="23"/>
      <c r="I14" s="25">
        <f t="shared" si="1"/>
        <v>0</v>
      </c>
      <c r="L14" s="40"/>
      <c r="M14" s="41">
        <v>13.97</v>
      </c>
      <c r="N14" s="41">
        <v>13.61</v>
      </c>
      <c r="O14" s="41">
        <v>13.57</v>
      </c>
      <c r="P14" s="41">
        <v>14.06</v>
      </c>
      <c r="Q14" s="41">
        <v>13.52</v>
      </c>
      <c r="R14" s="42">
        <v>13.89</v>
      </c>
      <c r="T14" s="40"/>
      <c r="U14" s="41">
        <v>13.82</v>
      </c>
      <c r="V14" s="42"/>
      <c r="X14" s="40"/>
      <c r="Y14" s="41">
        <v>13.43</v>
      </c>
      <c r="Z14" s="42">
        <v>13.43</v>
      </c>
      <c r="AB14" s="40"/>
      <c r="AC14" s="41">
        <v>13.78</v>
      </c>
      <c r="AD14" s="42">
        <v>13.69</v>
      </c>
      <c r="AF14" s="40"/>
      <c r="AG14" s="42">
        <v>13.77</v>
      </c>
      <c r="AI14" s="40"/>
      <c r="AJ14" s="42">
        <v>13.42</v>
      </c>
      <c r="AL14" s="40"/>
      <c r="AM14" s="42">
        <v>13.33</v>
      </c>
      <c r="AO14" s="40"/>
      <c r="AP14" s="41">
        <v>13.31</v>
      </c>
      <c r="AQ14" s="41">
        <v>13.7</v>
      </c>
      <c r="AR14" s="42">
        <v>13.67</v>
      </c>
      <c r="AT14" s="40"/>
      <c r="AU14" s="41">
        <v>13.29</v>
      </c>
      <c r="AV14" s="42"/>
      <c r="AX14" s="40"/>
      <c r="AY14" s="42"/>
      <c r="BA14" s="40"/>
      <c r="BB14" s="42"/>
      <c r="BD14" s="40"/>
      <c r="BE14" s="42"/>
      <c r="BG14" s="40"/>
      <c r="BH14" s="42">
        <v>13.75</v>
      </c>
      <c r="BJ14" s="40"/>
      <c r="BK14" s="42"/>
      <c r="BM14" s="40"/>
      <c r="BN14" s="41">
        <v>13.71</v>
      </c>
      <c r="BO14" s="41">
        <v>13.87</v>
      </c>
      <c r="BP14" s="41">
        <v>13.45</v>
      </c>
      <c r="BQ14" s="41">
        <v>13.28</v>
      </c>
      <c r="BR14" s="42"/>
      <c r="BT14" s="40"/>
      <c r="BU14" s="41">
        <v>13.73</v>
      </c>
      <c r="BV14" s="41">
        <v>13.78</v>
      </c>
      <c r="BW14" s="41">
        <v>13.26</v>
      </c>
      <c r="BX14" s="42">
        <v>13.83</v>
      </c>
      <c r="BZ14" s="40"/>
      <c r="CA14" s="42">
        <v>13.69</v>
      </c>
      <c r="CC14" s="40"/>
      <c r="CD14" s="41">
        <v>13.58</v>
      </c>
      <c r="CE14" s="42"/>
      <c r="CG14" s="40"/>
      <c r="CH14" s="41">
        <v>13.22</v>
      </c>
      <c r="CI14" s="42"/>
      <c r="CK14" s="40"/>
      <c r="CL14" s="41">
        <v>13.31</v>
      </c>
      <c r="CM14" s="42">
        <v>13.57</v>
      </c>
      <c r="CO14" s="40"/>
      <c r="CP14" s="41">
        <v>13.59</v>
      </c>
      <c r="CQ14" s="42"/>
      <c r="CS14" s="40"/>
      <c r="CT14" s="42">
        <v>13.89</v>
      </c>
      <c r="CV14" s="40"/>
      <c r="CW14" s="41">
        <v>14.06</v>
      </c>
      <c r="CX14" s="42">
        <v>14.04</v>
      </c>
      <c r="CZ14" s="40"/>
      <c r="DA14" s="41">
        <v>13.46</v>
      </c>
      <c r="DB14" s="41">
        <v>13.59</v>
      </c>
      <c r="DC14" s="42">
        <v>13.44</v>
      </c>
    </row>
    <row r="15" spans="1:211" x14ac:dyDescent="0.25">
      <c r="A15" s="22" t="s">
        <v>24</v>
      </c>
      <c r="B15" s="23" t="s">
        <v>65</v>
      </c>
      <c r="C15" s="78">
        <f>0.015+0.05+0.15+0.2</f>
        <v>0.41500000000000004</v>
      </c>
      <c r="D15" s="36">
        <f>AG47</f>
        <v>13.715</v>
      </c>
      <c r="E15" s="24">
        <f>D15-C15</f>
        <v>13.3</v>
      </c>
      <c r="F15" s="36">
        <f>AG23</f>
        <v>13.654666666666666</v>
      </c>
      <c r="G15" s="24">
        <f>E15-F15</f>
        <v>-0.35466666666666491</v>
      </c>
      <c r="H15" s="23">
        <f>130.2</f>
        <v>130.19999999999999</v>
      </c>
      <c r="I15" s="25">
        <f>H15*G15</f>
        <v>-46.177599999999764</v>
      </c>
      <c r="L15" s="40"/>
      <c r="M15" s="41">
        <v>13.96</v>
      </c>
      <c r="N15" s="41">
        <v>13.93</v>
      </c>
      <c r="O15" s="41">
        <v>13.64</v>
      </c>
      <c r="P15" s="41">
        <v>13.58</v>
      </c>
      <c r="Q15" s="41">
        <v>13.57</v>
      </c>
      <c r="R15" s="42">
        <v>13.92</v>
      </c>
      <c r="T15" s="40"/>
      <c r="U15" s="41">
        <v>13.82</v>
      </c>
      <c r="V15" s="42"/>
      <c r="X15" s="40"/>
      <c r="Y15" s="41">
        <v>13.53</v>
      </c>
      <c r="Z15" s="42">
        <v>13.43</v>
      </c>
      <c r="AB15" s="40"/>
      <c r="AC15" s="41">
        <v>13.76</v>
      </c>
      <c r="AD15" s="42">
        <v>13.67</v>
      </c>
      <c r="AF15" s="40"/>
      <c r="AG15" s="42">
        <v>13.61</v>
      </c>
      <c r="AI15" s="40"/>
      <c r="AJ15" s="42">
        <v>13.39</v>
      </c>
      <c r="AL15" s="40"/>
      <c r="AM15" s="42">
        <v>13.84</v>
      </c>
      <c r="AO15" s="40"/>
      <c r="AP15" s="41">
        <v>13.29</v>
      </c>
      <c r="AQ15" s="41">
        <v>13.73</v>
      </c>
      <c r="AR15" s="42">
        <v>13.39</v>
      </c>
      <c r="AT15" s="40"/>
      <c r="AU15" s="41">
        <v>13.26</v>
      </c>
      <c r="AV15" s="42"/>
      <c r="AX15" s="40"/>
      <c r="AY15" s="42"/>
      <c r="BA15" s="40"/>
      <c r="BB15" s="42"/>
      <c r="BD15" s="40"/>
      <c r="BE15" s="42"/>
      <c r="BG15" s="40"/>
      <c r="BH15" s="42">
        <v>13.86</v>
      </c>
      <c r="BJ15" s="40"/>
      <c r="BK15" s="42"/>
      <c r="BM15" s="40"/>
      <c r="BN15" s="41">
        <v>13.68</v>
      </c>
      <c r="BO15" s="41">
        <v>13.86</v>
      </c>
      <c r="BP15" s="41">
        <v>13.89</v>
      </c>
      <c r="BQ15" s="41">
        <v>13.3</v>
      </c>
      <c r="BR15" s="42"/>
      <c r="BT15" s="40"/>
      <c r="BU15" s="41">
        <v>13.78</v>
      </c>
      <c r="BV15" s="41">
        <v>13.77</v>
      </c>
      <c r="BW15" s="41">
        <v>13.87</v>
      </c>
      <c r="BX15" s="42">
        <v>13.83</v>
      </c>
      <c r="BZ15" s="40"/>
      <c r="CA15" s="42">
        <v>13.63</v>
      </c>
      <c r="CC15" s="40"/>
      <c r="CD15" s="41">
        <v>13.46</v>
      </c>
      <c r="CE15" s="42"/>
      <c r="CG15" s="40"/>
      <c r="CH15" s="41">
        <v>13.22</v>
      </c>
      <c r="CI15" s="42"/>
      <c r="CK15" s="40"/>
      <c r="CL15" s="41">
        <v>13.48</v>
      </c>
      <c r="CM15" s="42">
        <v>13.5</v>
      </c>
      <c r="CO15" s="40"/>
      <c r="CP15" s="41">
        <v>13.33</v>
      </c>
      <c r="CQ15" s="42"/>
      <c r="CS15" s="40"/>
      <c r="CT15" s="42">
        <v>13.84</v>
      </c>
      <c r="CV15" s="40"/>
      <c r="CW15" s="41">
        <v>14.05</v>
      </c>
      <c r="CX15" s="42">
        <v>14.05</v>
      </c>
      <c r="CZ15" s="40"/>
      <c r="DA15" s="41">
        <v>13.47</v>
      </c>
      <c r="DB15" s="41">
        <v>13.62</v>
      </c>
      <c r="DC15" s="42">
        <v>13.22</v>
      </c>
    </row>
    <row r="16" spans="1:211" x14ac:dyDescent="0.25">
      <c r="A16" s="22"/>
      <c r="B16" s="23" t="s">
        <v>65</v>
      </c>
      <c r="C16" s="78">
        <f>0.015+0.05+0.15+0.2</f>
        <v>0.41500000000000004</v>
      </c>
      <c r="D16" s="36">
        <f>AJ47</f>
        <v>13.715</v>
      </c>
      <c r="E16" s="24">
        <f>D16-C16</f>
        <v>13.3</v>
      </c>
      <c r="F16" s="36">
        <f>AJ23</f>
        <v>13.670526315789473</v>
      </c>
      <c r="G16" s="24">
        <f>E16-F16</f>
        <v>-0.3705263157894727</v>
      </c>
      <c r="H16" s="23">
        <v>130.19999999999999</v>
      </c>
      <c r="I16" s="25">
        <f t="shared" ref="I16:I32" si="3">H16*G16</f>
        <v>-48.242526315789341</v>
      </c>
      <c r="L16" s="40"/>
      <c r="M16" s="41">
        <v>13.77</v>
      </c>
      <c r="N16" s="41">
        <v>14.06</v>
      </c>
      <c r="O16" s="41">
        <v>14.05</v>
      </c>
      <c r="P16" s="41">
        <v>13.86</v>
      </c>
      <c r="Q16" s="41">
        <v>13.78</v>
      </c>
      <c r="R16" s="42">
        <v>13.91</v>
      </c>
      <c r="T16" s="40"/>
      <c r="U16" s="41">
        <v>13.82</v>
      </c>
      <c r="V16" s="42"/>
      <c r="X16" s="40"/>
      <c r="Y16" s="41">
        <v>13.64</v>
      </c>
      <c r="Z16" s="42">
        <v>13.48</v>
      </c>
      <c r="AB16" s="40"/>
      <c r="AC16" s="41">
        <v>13.73</v>
      </c>
      <c r="AD16" s="42"/>
      <c r="AF16" s="40"/>
      <c r="AG16" s="42">
        <v>13.54</v>
      </c>
      <c r="AI16" s="40"/>
      <c r="AJ16" s="42">
        <v>13.45</v>
      </c>
      <c r="AL16" s="40"/>
      <c r="AM16" s="42">
        <v>13.35</v>
      </c>
      <c r="AO16" s="40"/>
      <c r="AP16" s="41">
        <v>13.27</v>
      </c>
      <c r="AQ16" s="41">
        <v>13.73</v>
      </c>
      <c r="AR16" s="42">
        <v>13.33</v>
      </c>
      <c r="AT16" s="40"/>
      <c r="AU16" s="41">
        <v>13.27</v>
      </c>
      <c r="AV16" s="42"/>
      <c r="AX16" s="40"/>
      <c r="AY16" s="42"/>
      <c r="BA16" s="40"/>
      <c r="BB16" s="42"/>
      <c r="BD16" s="40"/>
      <c r="BE16" s="42"/>
      <c r="BG16" s="40"/>
      <c r="BH16" s="42">
        <v>13.77</v>
      </c>
      <c r="BJ16" s="40"/>
      <c r="BK16" s="42"/>
      <c r="BM16" s="40"/>
      <c r="BN16" s="41">
        <v>13.68</v>
      </c>
      <c r="BO16" s="41">
        <v>13.84</v>
      </c>
      <c r="BP16" s="41">
        <v>13.88</v>
      </c>
      <c r="BQ16" s="41">
        <v>13.3</v>
      </c>
      <c r="BR16" s="42"/>
      <c r="BT16" s="40"/>
      <c r="BU16" s="41">
        <v>13.78</v>
      </c>
      <c r="BV16" s="41">
        <v>13.69</v>
      </c>
      <c r="BW16" s="41">
        <v>13.86</v>
      </c>
      <c r="BX16" s="42">
        <v>13.84</v>
      </c>
      <c r="BZ16" s="40"/>
      <c r="CA16" s="42">
        <v>13.81</v>
      </c>
      <c r="CC16" s="40"/>
      <c r="CD16" s="41">
        <v>13.6</v>
      </c>
      <c r="CE16" s="42"/>
      <c r="CG16" s="40"/>
      <c r="CH16" s="41">
        <v>13.22</v>
      </c>
      <c r="CI16" s="42"/>
      <c r="CK16" s="40"/>
      <c r="CL16" s="41">
        <v>13.44</v>
      </c>
      <c r="CM16" s="42">
        <v>13.63</v>
      </c>
      <c r="CO16" s="40"/>
      <c r="CP16" s="41">
        <v>13.27</v>
      </c>
      <c r="CQ16" s="42"/>
      <c r="CS16" s="40"/>
      <c r="CT16" s="42">
        <v>13.86</v>
      </c>
      <c r="CV16" s="40"/>
      <c r="CW16" s="41">
        <v>14.05</v>
      </c>
      <c r="CX16" s="42">
        <v>14.03</v>
      </c>
      <c r="CZ16" s="40"/>
      <c r="DA16" s="41">
        <v>13.47</v>
      </c>
      <c r="DB16" s="41">
        <v>13.51</v>
      </c>
      <c r="DC16" s="42">
        <v>13.22</v>
      </c>
    </row>
    <row r="17" spans="1:211" x14ac:dyDescent="0.25">
      <c r="A17" s="22"/>
      <c r="B17" s="23"/>
      <c r="C17" s="28"/>
      <c r="D17" s="36"/>
      <c r="E17" s="24"/>
      <c r="F17" s="36"/>
      <c r="G17" s="24"/>
      <c r="H17" s="23"/>
      <c r="I17" s="25">
        <f t="shared" si="3"/>
        <v>0</v>
      </c>
      <c r="L17" s="40"/>
      <c r="M17" s="41">
        <v>14</v>
      </c>
      <c r="N17" s="41">
        <v>14.05</v>
      </c>
      <c r="O17" s="41">
        <v>14.05</v>
      </c>
      <c r="P17" s="41">
        <v>14.05</v>
      </c>
      <c r="Q17" s="41">
        <v>14.06</v>
      </c>
      <c r="R17" s="42">
        <v>13.96</v>
      </c>
      <c r="T17" s="40"/>
      <c r="U17" s="41">
        <v>13.82</v>
      </c>
      <c r="V17" s="42"/>
      <c r="X17" s="40"/>
      <c r="Y17" s="41">
        <v>13.49</v>
      </c>
      <c r="Z17" s="42">
        <v>13.57</v>
      </c>
      <c r="AB17" s="40"/>
      <c r="AC17" s="41">
        <v>13.72</v>
      </c>
      <c r="AD17" s="42"/>
      <c r="AF17" s="40"/>
      <c r="AG17" s="42">
        <v>13.58</v>
      </c>
      <c r="AI17" s="40"/>
      <c r="AJ17" s="42">
        <v>13.4</v>
      </c>
      <c r="AL17" s="40"/>
      <c r="AM17" s="42">
        <v>13.51</v>
      </c>
      <c r="AO17" s="40"/>
      <c r="AP17" s="41">
        <v>13.25</v>
      </c>
      <c r="AQ17" s="41">
        <v>13.73</v>
      </c>
      <c r="AR17" s="42">
        <v>13.2</v>
      </c>
      <c r="AT17" s="40"/>
      <c r="AU17" s="41">
        <v>13.25</v>
      </c>
      <c r="AV17" s="42"/>
      <c r="AX17" s="40"/>
      <c r="AY17" s="42"/>
      <c r="BA17" s="40"/>
      <c r="BB17" s="42"/>
      <c r="BD17" s="40"/>
      <c r="BE17" s="42"/>
      <c r="BG17" s="40"/>
      <c r="BH17" s="42">
        <v>13.84</v>
      </c>
      <c r="BJ17" s="40"/>
      <c r="BK17" s="42"/>
      <c r="BM17" s="40"/>
      <c r="BN17" s="41">
        <v>13.69</v>
      </c>
      <c r="BO17" s="41">
        <v>13.78</v>
      </c>
      <c r="BP17" s="41">
        <v>13.87</v>
      </c>
      <c r="BQ17" s="41">
        <v>13.35</v>
      </c>
      <c r="BR17" s="42"/>
      <c r="BT17" s="40"/>
      <c r="BU17" s="41">
        <v>13.73</v>
      </c>
      <c r="BV17" s="41">
        <v>13.72</v>
      </c>
      <c r="BW17" s="41">
        <v>13.8</v>
      </c>
      <c r="BX17" s="42">
        <v>13.84</v>
      </c>
      <c r="BZ17" s="40"/>
      <c r="CA17" s="42">
        <v>13.78</v>
      </c>
      <c r="CC17" s="40"/>
      <c r="CD17" s="41">
        <v>13.49</v>
      </c>
      <c r="CE17" s="42"/>
      <c r="CG17" s="40"/>
      <c r="CH17" s="41">
        <v>13.28</v>
      </c>
      <c r="CI17" s="42"/>
      <c r="CK17" s="40"/>
      <c r="CL17" s="41">
        <v>13.48</v>
      </c>
      <c r="CM17" s="42">
        <v>13.52</v>
      </c>
      <c r="CO17" s="40"/>
      <c r="CP17" s="41">
        <v>13.28</v>
      </c>
      <c r="CQ17" s="42"/>
      <c r="CS17" s="40"/>
      <c r="CT17" s="42">
        <v>13.81</v>
      </c>
      <c r="CV17" s="40"/>
      <c r="CW17" s="41">
        <v>14.05</v>
      </c>
      <c r="CX17" s="42">
        <v>14.03</v>
      </c>
      <c r="CZ17" s="40"/>
      <c r="DA17" s="41">
        <v>13.5</v>
      </c>
      <c r="DB17" s="41">
        <v>13.51</v>
      </c>
      <c r="DC17" s="42">
        <v>13.35</v>
      </c>
    </row>
    <row r="18" spans="1:211" x14ac:dyDescent="0.25">
      <c r="A18" s="22" t="s">
        <v>25</v>
      </c>
      <c r="B18" s="23" t="s">
        <v>67</v>
      </c>
      <c r="C18" s="28">
        <f>0.03+0.04+0.2+0.3</f>
        <v>0.57000000000000006</v>
      </c>
      <c r="D18" s="36">
        <f>AM47</f>
        <v>13.667499999999999</v>
      </c>
      <c r="E18" s="24">
        <f>D18-C18</f>
        <v>13.097499999999998</v>
      </c>
      <c r="F18" s="36">
        <f>AM23</f>
        <v>13.622666666666667</v>
      </c>
      <c r="G18" s="24">
        <f>E18-F18</f>
        <v>-0.525166666666669</v>
      </c>
      <c r="H18" s="23">
        <v>80.239999999999995</v>
      </c>
      <c r="I18" s="25">
        <f t="shared" si="3"/>
        <v>-42.139373333333516</v>
      </c>
      <c r="L18" s="40"/>
      <c r="M18" s="41">
        <v>13.98</v>
      </c>
      <c r="N18" s="41">
        <v>13.64</v>
      </c>
      <c r="O18" s="41">
        <v>13.58</v>
      </c>
      <c r="P18" s="41">
        <v>14.06</v>
      </c>
      <c r="Q18" s="41">
        <v>13.48</v>
      </c>
      <c r="R18" s="42"/>
      <c r="T18" s="40"/>
      <c r="U18" s="41">
        <v>13.81</v>
      </c>
      <c r="V18" s="42"/>
      <c r="X18" s="40"/>
      <c r="Y18" s="41">
        <v>13.66</v>
      </c>
      <c r="Z18" s="42">
        <v>13.72</v>
      </c>
      <c r="AB18" s="40"/>
      <c r="AC18" s="41">
        <v>13.72</v>
      </c>
      <c r="AD18" s="42"/>
      <c r="AF18" s="40"/>
      <c r="AG18" s="42"/>
      <c r="AI18" s="40"/>
      <c r="AJ18" s="42">
        <v>13.7</v>
      </c>
      <c r="AL18" s="40"/>
      <c r="AM18" s="42"/>
      <c r="AO18" s="40"/>
      <c r="AP18" s="41">
        <v>13.26</v>
      </c>
      <c r="AQ18" s="41">
        <v>13.62</v>
      </c>
      <c r="AR18" s="42">
        <v>13.22</v>
      </c>
      <c r="AT18" s="40"/>
      <c r="AU18" s="41">
        <v>13.25</v>
      </c>
      <c r="AV18" s="42"/>
      <c r="AX18" s="40"/>
      <c r="AY18" s="42"/>
      <c r="BA18" s="40"/>
      <c r="BB18" s="42"/>
      <c r="BD18" s="40"/>
      <c r="BE18" s="42"/>
      <c r="BG18" s="40"/>
      <c r="BH18" s="42">
        <v>13.71</v>
      </c>
      <c r="BJ18" s="40"/>
      <c r="BK18" s="42"/>
      <c r="BM18" s="40"/>
      <c r="BN18" s="41">
        <v>13.72</v>
      </c>
      <c r="BO18" s="41">
        <v>13.65</v>
      </c>
      <c r="BP18" s="41">
        <v>13.86</v>
      </c>
      <c r="BQ18" s="41">
        <v>13.32</v>
      </c>
      <c r="BR18" s="42"/>
      <c r="BT18" s="40"/>
      <c r="BU18" s="41">
        <v>13.71</v>
      </c>
      <c r="BV18" s="41">
        <v>13.76</v>
      </c>
      <c r="BW18" s="41">
        <v>13.42</v>
      </c>
      <c r="BX18" s="42"/>
      <c r="BZ18" s="40"/>
      <c r="CA18" s="42">
        <v>13.74</v>
      </c>
      <c r="CC18" s="40"/>
      <c r="CD18" s="41">
        <v>13.57</v>
      </c>
      <c r="CE18" s="42"/>
      <c r="CG18" s="40"/>
      <c r="CH18" s="41">
        <v>13.19</v>
      </c>
      <c r="CI18" s="42"/>
      <c r="CK18" s="40"/>
      <c r="CL18" s="41">
        <v>13.42</v>
      </c>
      <c r="CM18" s="42">
        <v>13.43</v>
      </c>
      <c r="CO18" s="40"/>
      <c r="CP18" s="41">
        <v>13.35</v>
      </c>
      <c r="CQ18" s="42"/>
      <c r="CS18" s="40"/>
      <c r="CT18" s="42">
        <v>13.84</v>
      </c>
      <c r="CV18" s="40"/>
      <c r="CW18" s="41">
        <v>14.05</v>
      </c>
      <c r="CX18" s="42">
        <v>14.07</v>
      </c>
      <c r="CZ18" s="40"/>
      <c r="DA18" s="41">
        <v>13.63</v>
      </c>
      <c r="DB18" s="41">
        <v>13.49</v>
      </c>
      <c r="DC18" s="42">
        <v>13.4</v>
      </c>
    </row>
    <row r="19" spans="1:211" x14ac:dyDescent="0.25">
      <c r="A19" s="22"/>
      <c r="B19" s="23" t="s">
        <v>67</v>
      </c>
      <c r="C19" s="28">
        <f>0.03+0.04+0.2+0.3</f>
        <v>0.57000000000000006</v>
      </c>
      <c r="D19" s="36">
        <f>AP47</f>
        <v>13.647857142857143</v>
      </c>
      <c r="E19" s="24">
        <f>D19-C19</f>
        <v>13.077857142857143</v>
      </c>
      <c r="F19" s="36">
        <f>AR23</f>
        <v>13.535833333333334</v>
      </c>
      <c r="G19" s="24">
        <f>E19-F19</f>
        <v>-0.45797619047619165</v>
      </c>
      <c r="H19" s="23">
        <v>344.18</v>
      </c>
      <c r="I19" s="25">
        <f t="shared" si="3"/>
        <v>-157.62624523809563</v>
      </c>
      <c r="L19" s="40"/>
      <c r="M19" s="41">
        <v>13.82</v>
      </c>
      <c r="N19" s="41">
        <v>13.95</v>
      </c>
      <c r="O19" s="41">
        <v>13.7</v>
      </c>
      <c r="P19" s="41">
        <v>13.57</v>
      </c>
      <c r="Q19" s="41">
        <v>13.57</v>
      </c>
      <c r="R19" s="42"/>
      <c r="T19" s="40"/>
      <c r="U19" s="41">
        <v>13.64</v>
      </c>
      <c r="V19" s="42"/>
      <c r="X19" s="40"/>
      <c r="Y19" s="41">
        <v>13.48</v>
      </c>
      <c r="Z19" s="42">
        <v>13.85</v>
      </c>
      <c r="AB19" s="40"/>
      <c r="AC19" s="41">
        <v>13.72</v>
      </c>
      <c r="AD19" s="42"/>
      <c r="AF19" s="40"/>
      <c r="AG19" s="42"/>
      <c r="AI19" s="40"/>
      <c r="AJ19" s="42">
        <v>13.68</v>
      </c>
      <c r="AL19" s="40"/>
      <c r="AM19" s="42"/>
      <c r="AO19" s="40"/>
      <c r="AP19" s="41">
        <v>13.28</v>
      </c>
      <c r="AQ19" s="41">
        <v>13.69</v>
      </c>
      <c r="AR19" s="42">
        <v>13.16</v>
      </c>
      <c r="AT19" s="40"/>
      <c r="AU19" s="41">
        <v>13.27</v>
      </c>
      <c r="AV19" s="42"/>
      <c r="AX19" s="40"/>
      <c r="AY19" s="42"/>
      <c r="BA19" s="40"/>
      <c r="BB19" s="42"/>
      <c r="BD19" s="40"/>
      <c r="BE19" s="42"/>
      <c r="BG19" s="40"/>
      <c r="BH19" s="42">
        <v>13.81</v>
      </c>
      <c r="BJ19" s="40"/>
      <c r="BK19" s="42"/>
      <c r="BM19" s="40"/>
      <c r="BN19" s="41">
        <v>13.73</v>
      </c>
      <c r="BO19" s="41">
        <v>13.47</v>
      </c>
      <c r="BP19" s="41">
        <v>13.76</v>
      </c>
      <c r="BQ19" s="41">
        <v>13.4</v>
      </c>
      <c r="BR19" s="42"/>
      <c r="BT19" s="40"/>
      <c r="BU19" s="41">
        <v>13.68</v>
      </c>
      <c r="BV19" s="41">
        <v>13.79</v>
      </c>
      <c r="BW19" s="41">
        <v>13.19</v>
      </c>
      <c r="BX19" s="42"/>
      <c r="BZ19" s="40"/>
      <c r="CA19" s="42">
        <v>13.76</v>
      </c>
      <c r="CC19" s="40"/>
      <c r="CD19" s="41">
        <v>13.51</v>
      </c>
      <c r="CE19" s="42"/>
      <c r="CG19" s="40"/>
      <c r="CH19" s="41">
        <v>13.26</v>
      </c>
      <c r="CI19" s="42"/>
      <c r="CK19" s="40"/>
      <c r="CL19" s="41">
        <v>13.45</v>
      </c>
      <c r="CM19" s="42"/>
      <c r="CO19" s="40"/>
      <c r="CP19" s="41">
        <v>13.13</v>
      </c>
      <c r="CQ19" s="42"/>
      <c r="CS19" s="40"/>
      <c r="CT19" s="42">
        <v>13.85</v>
      </c>
      <c r="CV19" s="40"/>
      <c r="CW19" s="41">
        <v>14.05</v>
      </c>
      <c r="CX19" s="42">
        <v>14.11</v>
      </c>
      <c r="CZ19" s="40"/>
      <c r="DA19" s="41">
        <v>13.36</v>
      </c>
      <c r="DB19" s="41">
        <v>13.46</v>
      </c>
      <c r="DC19" s="42">
        <v>13.45</v>
      </c>
    </row>
    <row r="20" spans="1:211" x14ac:dyDescent="0.25">
      <c r="A20" s="22"/>
      <c r="B20" s="23"/>
      <c r="C20" s="28"/>
      <c r="D20" s="36"/>
      <c r="E20" s="24"/>
      <c r="F20" s="24"/>
      <c r="G20" s="24"/>
      <c r="H20" s="23"/>
      <c r="I20" s="25">
        <f t="shared" si="3"/>
        <v>0</v>
      </c>
      <c r="L20" s="40"/>
      <c r="M20" s="41">
        <v>14.02</v>
      </c>
      <c r="N20" s="41">
        <v>13.66</v>
      </c>
      <c r="O20" s="41">
        <v>14.05</v>
      </c>
      <c r="P20" s="41">
        <v>13.92</v>
      </c>
      <c r="Q20" s="41">
        <v>13.8</v>
      </c>
      <c r="R20" s="42"/>
      <c r="T20" s="40"/>
      <c r="U20" s="41">
        <v>13.83</v>
      </c>
      <c r="V20" s="42"/>
      <c r="X20" s="40"/>
      <c r="Y20" s="41">
        <v>13.48</v>
      </c>
      <c r="Z20" s="42">
        <v>13.87</v>
      </c>
      <c r="AB20" s="40"/>
      <c r="AC20" s="41">
        <v>13.72</v>
      </c>
      <c r="AD20" s="42"/>
      <c r="AF20" s="40"/>
      <c r="AG20" s="42"/>
      <c r="AI20" s="40"/>
      <c r="AJ20" s="42">
        <v>13.67</v>
      </c>
      <c r="AL20" s="40"/>
      <c r="AM20" s="42"/>
      <c r="AO20" s="40"/>
      <c r="AP20" s="41">
        <v>13.5</v>
      </c>
      <c r="AQ20" s="41">
        <v>13.58</v>
      </c>
      <c r="AR20" s="42">
        <v>13.13</v>
      </c>
      <c r="AT20" s="40"/>
      <c r="AU20" s="41">
        <v>13.26</v>
      </c>
      <c r="AV20" s="42"/>
      <c r="AX20" s="40"/>
      <c r="AY20" s="42"/>
      <c r="BA20" s="40"/>
      <c r="BB20" s="42"/>
      <c r="BD20" s="40"/>
      <c r="BE20" s="42"/>
      <c r="BG20" s="40"/>
      <c r="BH20" s="42">
        <v>13.85</v>
      </c>
      <c r="BJ20" s="40"/>
      <c r="BK20" s="42"/>
      <c r="BM20" s="40"/>
      <c r="BN20" s="41">
        <v>13.66</v>
      </c>
      <c r="BO20" s="41">
        <v>13.92</v>
      </c>
      <c r="BP20" s="41">
        <v>13.72</v>
      </c>
      <c r="BQ20" s="41">
        <v>13.39</v>
      </c>
      <c r="BR20" s="42"/>
      <c r="BT20" s="40"/>
      <c r="BU20" s="41">
        <v>13.75</v>
      </c>
      <c r="BV20" s="41">
        <v>13.82</v>
      </c>
      <c r="BW20" s="41">
        <v>13.88</v>
      </c>
      <c r="BX20" s="42"/>
      <c r="BZ20" s="40"/>
      <c r="CA20" s="42">
        <v>13.71</v>
      </c>
      <c r="CC20" s="40"/>
      <c r="CD20" s="41">
        <v>13.74</v>
      </c>
      <c r="CE20" s="42"/>
      <c r="CG20" s="40"/>
      <c r="CH20" s="41">
        <v>13.3</v>
      </c>
      <c r="CI20" s="42"/>
      <c r="CK20" s="40"/>
      <c r="CL20" s="41">
        <v>13.49</v>
      </c>
      <c r="CM20" s="42"/>
      <c r="CO20" s="40"/>
      <c r="CP20" s="41">
        <v>13.12</v>
      </c>
      <c r="CQ20" s="42"/>
      <c r="CS20" s="40"/>
      <c r="CT20" s="42">
        <v>13.87</v>
      </c>
      <c r="CV20" s="40"/>
      <c r="CW20" s="41">
        <v>14.05</v>
      </c>
      <c r="CX20" s="42">
        <v>13.91</v>
      </c>
      <c r="CZ20" s="40"/>
      <c r="DA20" s="41">
        <v>13.41</v>
      </c>
      <c r="DB20" s="41">
        <v>13.59</v>
      </c>
      <c r="DC20" s="42">
        <v>13.37</v>
      </c>
    </row>
    <row r="21" spans="1:211" x14ac:dyDescent="0.25">
      <c r="A21" s="22" t="s">
        <v>20</v>
      </c>
      <c r="B21" s="23" t="s">
        <v>69</v>
      </c>
      <c r="C21" s="28">
        <f>0.1+0.3+0.3</f>
        <v>0.7</v>
      </c>
      <c r="D21" s="36">
        <f>AP47</f>
        <v>13.647857142857143</v>
      </c>
      <c r="E21" s="24">
        <f>D21-C21</f>
        <v>12.947857142857144</v>
      </c>
      <c r="F21" s="24">
        <f>AV23</f>
        <v>13.438965517241376</v>
      </c>
      <c r="G21" s="24">
        <f>E21-F21</f>
        <v>-0.4911083743842326</v>
      </c>
      <c r="H21" s="23">
        <v>89.19</v>
      </c>
      <c r="I21" s="25">
        <f t="shared" si="3"/>
        <v>-43.801955911329706</v>
      </c>
      <c r="L21" s="40"/>
      <c r="M21" s="41">
        <v>14</v>
      </c>
      <c r="N21" s="41">
        <v>13.97</v>
      </c>
      <c r="O21" s="41">
        <v>14.05</v>
      </c>
      <c r="P21" s="41">
        <v>13.57</v>
      </c>
      <c r="Q21" s="41">
        <v>14.06</v>
      </c>
      <c r="R21" s="42"/>
      <c r="T21" s="40"/>
      <c r="U21" s="41">
        <v>13.81</v>
      </c>
      <c r="V21" s="42"/>
      <c r="X21" s="40"/>
      <c r="Y21" s="41">
        <v>13.49</v>
      </c>
      <c r="Z21" s="42"/>
      <c r="AB21" s="40"/>
      <c r="AC21" s="41">
        <v>13.73</v>
      </c>
      <c r="AD21" s="42"/>
      <c r="AF21" s="40"/>
      <c r="AG21" s="42"/>
      <c r="AI21" s="40"/>
      <c r="AJ21" s="42">
        <v>13.66</v>
      </c>
      <c r="AL21" s="40"/>
      <c r="AM21" s="42"/>
      <c r="AO21" s="40"/>
      <c r="AP21" s="41">
        <v>13.52</v>
      </c>
      <c r="AQ21" s="41">
        <v>13.67</v>
      </c>
      <c r="AR21" s="42">
        <v>13.12</v>
      </c>
      <c r="AT21" s="40"/>
      <c r="AU21" s="41">
        <v>13.34</v>
      </c>
      <c r="AV21" s="42"/>
      <c r="AX21" s="40"/>
      <c r="AY21" s="42"/>
      <c r="BA21" s="40"/>
      <c r="BB21" s="42"/>
      <c r="BD21" s="40"/>
      <c r="BE21" s="42"/>
      <c r="BG21" s="40"/>
      <c r="BH21" s="42">
        <v>13.65</v>
      </c>
      <c r="BJ21" s="40"/>
      <c r="BK21" s="42"/>
      <c r="BM21" s="40"/>
      <c r="BN21" s="41">
        <v>13.7</v>
      </c>
      <c r="BO21" s="41">
        <v>13.89</v>
      </c>
      <c r="BP21" s="41">
        <v>13.72</v>
      </c>
      <c r="BQ21" s="41">
        <v>13.44</v>
      </c>
      <c r="BR21" s="42"/>
      <c r="BT21" s="40"/>
      <c r="BU21" s="41">
        <v>13.8</v>
      </c>
      <c r="BV21" s="41">
        <v>13.83</v>
      </c>
      <c r="BW21" s="41">
        <v>13.87</v>
      </c>
      <c r="BX21" s="42"/>
      <c r="BZ21" s="40"/>
      <c r="CA21" s="42"/>
      <c r="CC21" s="40"/>
      <c r="CD21" s="41">
        <v>13.51</v>
      </c>
      <c r="CE21" s="42"/>
      <c r="CG21" s="40"/>
      <c r="CH21" s="41">
        <v>13.34</v>
      </c>
      <c r="CI21" s="42"/>
      <c r="CK21" s="40"/>
      <c r="CL21" s="41">
        <v>13.52</v>
      </c>
      <c r="CM21" s="42"/>
      <c r="CO21" s="40"/>
      <c r="CP21" s="41">
        <v>13.13</v>
      </c>
      <c r="CQ21" s="42"/>
      <c r="CS21" s="40"/>
      <c r="CT21" s="42"/>
      <c r="CV21" s="40"/>
      <c r="CW21" s="41">
        <v>14.05</v>
      </c>
      <c r="CX21" s="42">
        <v>13.92</v>
      </c>
      <c r="CZ21" s="40"/>
      <c r="DA21" s="41">
        <v>13.42</v>
      </c>
      <c r="DB21" s="41">
        <v>13.67</v>
      </c>
      <c r="DC21" s="42">
        <v>13.4</v>
      </c>
    </row>
    <row r="22" spans="1:211" ht="15.75" thickBot="1" x14ac:dyDescent="0.3">
      <c r="A22" s="22"/>
      <c r="B22" s="23" t="s">
        <v>69</v>
      </c>
      <c r="C22" s="28">
        <f>0.1+0.3+0.3</f>
        <v>0.7</v>
      </c>
      <c r="D22" s="36">
        <f>13.63</f>
        <v>13.63</v>
      </c>
      <c r="E22" s="24">
        <f>D22-C22</f>
        <v>12.930000000000001</v>
      </c>
      <c r="F22" s="24">
        <f>AY23</f>
        <v>13.712000000000003</v>
      </c>
      <c r="G22" s="24">
        <f>E22-F22</f>
        <v>-0.7820000000000018</v>
      </c>
      <c r="H22" s="23">
        <f>30.21</f>
        <v>30.21</v>
      </c>
      <c r="I22" s="25">
        <f t="shared" si="3"/>
        <v>-23.624220000000054</v>
      </c>
      <c r="L22" s="43"/>
      <c r="M22" s="44">
        <v>13.47</v>
      </c>
      <c r="N22" s="44">
        <v>13.64</v>
      </c>
      <c r="O22" s="44">
        <v>14.05</v>
      </c>
      <c r="P22" s="44">
        <v>13.98</v>
      </c>
      <c r="Q22" s="44">
        <v>13.57</v>
      </c>
      <c r="R22" s="45"/>
      <c r="T22" s="43"/>
      <c r="U22" s="44">
        <v>13.72</v>
      </c>
      <c r="V22" s="45"/>
      <c r="X22" s="43"/>
      <c r="Y22" s="44">
        <v>13.52</v>
      </c>
      <c r="Z22" s="45"/>
      <c r="AB22" s="43"/>
      <c r="AC22" s="44">
        <v>13.79</v>
      </c>
      <c r="AD22" s="45"/>
      <c r="AF22" s="43"/>
      <c r="AG22" s="45"/>
      <c r="AI22" s="43"/>
      <c r="AJ22" s="45"/>
      <c r="AL22" s="43"/>
      <c r="AM22" s="45"/>
      <c r="AO22" s="43"/>
      <c r="AP22" s="44">
        <v>13.59</v>
      </c>
      <c r="AQ22" s="44">
        <v>13.6</v>
      </c>
      <c r="AR22" s="45">
        <v>13.13</v>
      </c>
      <c r="AT22" s="43"/>
      <c r="AU22" s="44">
        <v>13.38</v>
      </c>
      <c r="AV22" s="45"/>
      <c r="AX22" s="43"/>
      <c r="AY22" s="45"/>
      <c r="BA22" s="43"/>
      <c r="BB22" s="45"/>
      <c r="BD22" s="43"/>
      <c r="BE22" s="45"/>
      <c r="BG22" s="43"/>
      <c r="BH22" s="45"/>
      <c r="BJ22" s="43"/>
      <c r="BK22" s="45"/>
      <c r="BM22" s="43"/>
      <c r="BN22" s="44">
        <v>13.65</v>
      </c>
      <c r="BO22" s="44">
        <v>13.83</v>
      </c>
      <c r="BP22" s="44">
        <v>13.44</v>
      </c>
      <c r="BQ22" s="44">
        <v>13.46</v>
      </c>
      <c r="BR22" s="45"/>
      <c r="BT22" s="43"/>
      <c r="BU22" s="44">
        <v>13.74</v>
      </c>
      <c r="BV22" s="44">
        <v>13.74</v>
      </c>
      <c r="BW22" s="44">
        <v>13.82</v>
      </c>
      <c r="BX22" s="45"/>
      <c r="BZ22" s="43"/>
      <c r="CA22" s="45"/>
      <c r="CC22" s="43"/>
      <c r="CD22" s="44">
        <v>13.75</v>
      </c>
      <c r="CE22" s="45"/>
      <c r="CG22" s="43"/>
      <c r="CH22" s="44">
        <v>13.35</v>
      </c>
      <c r="CI22" s="45"/>
      <c r="CK22" s="43"/>
      <c r="CL22" s="44">
        <v>13.49</v>
      </c>
      <c r="CM22" s="45"/>
      <c r="CO22" s="43"/>
      <c r="CP22" s="44">
        <v>13.16</v>
      </c>
      <c r="CQ22" s="45"/>
      <c r="CS22" s="43"/>
      <c r="CT22" s="45"/>
      <c r="CV22" s="43"/>
      <c r="CW22" s="44">
        <v>14.05</v>
      </c>
      <c r="CX22" s="45">
        <v>13.89</v>
      </c>
      <c r="CZ22" s="43"/>
      <c r="DA22" s="44">
        <v>13.49</v>
      </c>
      <c r="DB22" s="44">
        <v>13.46</v>
      </c>
      <c r="DC22" s="45">
        <v>13.42</v>
      </c>
    </row>
    <row r="23" spans="1:211" x14ac:dyDescent="0.25">
      <c r="A23" s="22"/>
      <c r="B23" s="23" t="s">
        <v>69</v>
      </c>
      <c r="C23" s="28">
        <f>0.1+0.3+0.3</f>
        <v>0.7</v>
      </c>
      <c r="D23" s="36">
        <v>13.63</v>
      </c>
      <c r="E23" s="24">
        <f>D23-C23</f>
        <v>12.930000000000001</v>
      </c>
      <c r="F23" s="24">
        <f>BB23</f>
        <v>13.714444444444446</v>
      </c>
      <c r="G23" s="24">
        <f>E23-F23</f>
        <v>-0.7844444444444445</v>
      </c>
      <c r="H23" s="23">
        <f>30.07</f>
        <v>30.07</v>
      </c>
      <c r="I23" s="25">
        <f t="shared" si="3"/>
        <v>-23.588244444444445</v>
      </c>
      <c r="R23" s="35">
        <f>SUM(M3:R22)/115</f>
        <v>13.849826086956513</v>
      </c>
      <c r="V23" s="35">
        <f>SUM(U3:V22)/22</f>
        <v>13.753636363636362</v>
      </c>
      <c r="Z23" s="35">
        <f>SUM(Y3:Z22)/38</f>
        <v>13.557631578947372</v>
      </c>
      <c r="AD23" s="35">
        <f>SUM(AC3:AD22)/33</f>
        <v>13.753333333333337</v>
      </c>
      <c r="AG23" s="35">
        <f>SUM(AG3:AG22)/15</f>
        <v>13.654666666666666</v>
      </c>
      <c r="AJ23" s="35">
        <f>SUM(AJ3:AJ22)/19</f>
        <v>13.670526315789473</v>
      </c>
      <c r="AM23" s="35">
        <f>SUM(AM3:AM22)/15</f>
        <v>13.622666666666667</v>
      </c>
      <c r="AR23" s="35">
        <f>SUM(AP3:AR22)/60</f>
        <v>13.535833333333334</v>
      </c>
      <c r="AV23" s="35">
        <f>SUM(AU3:AV22)/29</f>
        <v>13.438965517241376</v>
      </c>
      <c r="AY23" s="35">
        <f>SUM(AY3:AY22)/10</f>
        <v>13.712000000000003</v>
      </c>
      <c r="BB23" s="35">
        <f>SUM(BB3:BB22)/9</f>
        <v>13.714444444444446</v>
      </c>
      <c r="BE23" s="35">
        <f>SUM(BE3:BE22)/10</f>
        <v>13.201999999999998</v>
      </c>
      <c r="BH23" s="35">
        <f>SUM(BH3:BH22)/19</f>
        <v>13.743157894736843</v>
      </c>
      <c r="BK23" s="35">
        <f>SUM(BK3:BK22)/9</f>
        <v>13.43</v>
      </c>
      <c r="BR23" s="35">
        <f>SUM(BN3:BR22)/90</f>
        <v>13.635333333333342</v>
      </c>
      <c r="BX23" s="35">
        <f>SUM(BU3:BX22)/75</f>
        <v>13.684000000000003</v>
      </c>
      <c r="CA23" s="35">
        <f>SUM(CA3:CA22)/18</f>
        <v>13.726111111111113</v>
      </c>
      <c r="CE23" s="35">
        <f>SUM(CD3:CE22)/29</f>
        <v>13.591379310344825</v>
      </c>
      <c r="CI23" s="35">
        <f>SUM(CH3:CI22)/28</f>
        <v>13.462500000000002</v>
      </c>
      <c r="CM23" s="35">
        <f>SUM(CL3:CM22)/36</f>
        <v>13.491666666666667</v>
      </c>
      <c r="CQ23" s="35">
        <f>SUM(CP3:CQ22)/25</f>
        <v>13.380800000000001</v>
      </c>
      <c r="CT23" s="35">
        <f>SUM(CT3:CT22)/18</f>
        <v>13.815555555555555</v>
      </c>
      <c r="CX23" s="35">
        <f>SUM(CW3:CX22)/40</f>
        <v>14.031499999999999</v>
      </c>
      <c r="DC23" s="35">
        <f>SUM(DA3:DC22)/60</f>
        <v>13.464166666666669</v>
      </c>
    </row>
    <row r="24" spans="1:211" x14ac:dyDescent="0.25">
      <c r="A24" s="22"/>
      <c r="B24" s="23" t="s">
        <v>69</v>
      </c>
      <c r="C24" s="28">
        <f>0.1+0.3+0.3</f>
        <v>0.7</v>
      </c>
      <c r="D24" s="36">
        <v>13.62</v>
      </c>
      <c r="E24" s="24">
        <f>D24-C24</f>
        <v>12.92</v>
      </c>
      <c r="F24" s="24">
        <f>BE23</f>
        <v>13.201999999999998</v>
      </c>
      <c r="G24" s="24">
        <f>E24-F24</f>
        <v>-0.28199999999999825</v>
      </c>
      <c r="H24" s="23">
        <v>25.3</v>
      </c>
      <c r="I24" s="25">
        <f t="shared" si="3"/>
        <v>-7.1345999999999563</v>
      </c>
    </row>
    <row r="25" spans="1:211" ht="19.5" thickBot="1" x14ac:dyDescent="0.3">
      <c r="A25" s="22"/>
      <c r="B25" s="23" t="s">
        <v>69</v>
      </c>
      <c r="C25" s="28">
        <f>0.1+0.3+0.3</f>
        <v>0.7</v>
      </c>
      <c r="D25" s="36">
        <f>(13.6+13.62+13.63)/3</f>
        <v>13.616666666666667</v>
      </c>
      <c r="E25" s="24">
        <f>D25-C25</f>
        <v>12.916666666666668</v>
      </c>
      <c r="F25" s="24">
        <f>BH23</f>
        <v>13.743157894736843</v>
      </c>
      <c r="G25" s="24">
        <f>E25-F25</f>
        <v>-0.82649122807017505</v>
      </c>
      <c r="H25" s="23">
        <v>53.75</v>
      </c>
      <c r="I25" s="25">
        <f t="shared" si="3"/>
        <v>-44.423903508771907</v>
      </c>
      <c r="L25" s="58" t="s">
        <v>18</v>
      </c>
      <c r="M25" s="58"/>
      <c r="N25" s="58"/>
      <c r="O25" s="58"/>
      <c r="S25" s="58"/>
      <c r="T25" s="58"/>
      <c r="U25" s="58"/>
      <c r="V25" s="58"/>
      <c r="W25" s="58"/>
      <c r="X25" s="58"/>
      <c r="Y25" s="58"/>
      <c r="Z25" s="58"/>
      <c r="AA25" s="58"/>
      <c r="AB25" s="58"/>
      <c r="AC25" s="58"/>
      <c r="AD25" s="58"/>
      <c r="AE25" s="58"/>
      <c r="AF25" s="58"/>
      <c r="AG25" s="58"/>
      <c r="AH25" s="58"/>
      <c r="AI25" s="58"/>
      <c r="AJ25" s="58"/>
      <c r="AK25" s="58"/>
      <c r="AL25" s="58"/>
      <c r="AM25" s="58"/>
      <c r="AN25" s="58"/>
      <c r="AO25" s="58"/>
      <c r="AP25" s="58"/>
      <c r="AQ25" s="58"/>
      <c r="AR25" s="58"/>
      <c r="AS25" s="58"/>
      <c r="AT25" s="58"/>
      <c r="AU25" s="58"/>
      <c r="AV25" s="58"/>
      <c r="AW25" s="58"/>
      <c r="AX25" s="58"/>
      <c r="AY25" s="58"/>
      <c r="AZ25" s="58"/>
      <c r="BA25" s="58"/>
      <c r="BB25" s="58"/>
      <c r="BC25" s="58"/>
      <c r="BD25" s="58"/>
      <c r="BE25" s="58"/>
      <c r="BF25" s="58"/>
      <c r="BG25" s="58"/>
      <c r="BH25" s="58"/>
      <c r="BI25" s="58"/>
      <c r="BJ25" s="58"/>
      <c r="BK25" s="58"/>
      <c r="BL25" s="58"/>
      <c r="BM25" s="58"/>
      <c r="BN25" s="58"/>
      <c r="BO25" s="58"/>
      <c r="BP25" s="58"/>
      <c r="BQ25" s="58"/>
      <c r="BR25" s="58"/>
      <c r="BS25" s="58"/>
      <c r="BT25" s="58"/>
      <c r="BU25" s="58"/>
      <c r="BV25" s="58"/>
      <c r="BW25" s="58"/>
      <c r="BX25" s="58"/>
      <c r="BY25" s="58"/>
      <c r="CB25" s="58"/>
      <c r="CC25" s="58"/>
      <c r="CD25" s="58"/>
      <c r="CE25" s="58"/>
      <c r="CF25" s="58"/>
      <c r="CG25" s="58"/>
      <c r="CH25" s="58"/>
      <c r="CI25" s="58"/>
      <c r="CJ25" s="58"/>
      <c r="CK25" s="58"/>
      <c r="CL25" s="58"/>
      <c r="CM25" s="58"/>
      <c r="CN25" s="58"/>
      <c r="CO25" s="58"/>
      <c r="CP25" s="58"/>
      <c r="CQ25" s="58"/>
      <c r="CR25" s="58"/>
      <c r="CU25" s="58"/>
      <c r="CV25" s="58"/>
      <c r="CW25" s="58"/>
      <c r="CX25" s="58"/>
      <c r="CY25" s="58"/>
      <c r="CZ25" s="58"/>
      <c r="DA25" s="58"/>
      <c r="DB25" s="58"/>
      <c r="DC25" s="58"/>
      <c r="DD25" s="58"/>
      <c r="DE25" s="58"/>
      <c r="DF25" s="58"/>
      <c r="DG25" s="58"/>
      <c r="DH25" s="58"/>
      <c r="DI25" s="58"/>
      <c r="DJ25" s="58"/>
      <c r="DK25" s="58"/>
      <c r="DL25" s="58"/>
      <c r="DM25" s="58"/>
      <c r="DN25" s="58"/>
      <c r="DO25" s="58"/>
      <c r="DP25" s="58"/>
      <c r="DQ25" s="58"/>
      <c r="DR25" s="58"/>
      <c r="DS25" s="58"/>
      <c r="DT25" s="58"/>
      <c r="DU25" s="58"/>
      <c r="DV25" s="58"/>
      <c r="DW25" s="58"/>
      <c r="DX25" s="58"/>
      <c r="DY25" s="58"/>
      <c r="DZ25" s="58"/>
      <c r="EA25" s="58"/>
      <c r="EB25" s="58"/>
      <c r="EC25" s="58"/>
      <c r="ED25" s="58"/>
      <c r="EE25" s="58"/>
      <c r="EF25" s="58"/>
      <c r="EG25" s="58"/>
      <c r="EH25" s="58"/>
      <c r="EI25" s="58"/>
      <c r="EJ25" s="58"/>
      <c r="EK25" s="58"/>
      <c r="EL25" s="58"/>
      <c r="EM25" s="58"/>
      <c r="EN25" s="58"/>
      <c r="EO25" s="58"/>
      <c r="EP25" s="58"/>
      <c r="EQ25" s="58"/>
      <c r="ER25" s="58"/>
      <c r="ES25" s="58"/>
      <c r="ET25" s="58"/>
      <c r="EU25" s="58"/>
      <c r="EV25" s="58"/>
      <c r="EW25" s="58"/>
      <c r="EX25" s="58"/>
      <c r="EY25" s="58"/>
      <c r="EZ25" s="58"/>
      <c r="FA25" s="58"/>
      <c r="FB25" s="58"/>
      <c r="FC25" s="58"/>
      <c r="FD25" s="58"/>
      <c r="FE25" s="58"/>
      <c r="FF25" s="58"/>
      <c r="FG25" s="58"/>
      <c r="FH25" s="58"/>
      <c r="FI25" s="58"/>
      <c r="FJ25" s="58"/>
      <c r="FK25" s="58"/>
      <c r="FL25" s="58"/>
      <c r="FM25" s="58"/>
      <c r="FN25" s="58"/>
      <c r="FO25" s="58"/>
      <c r="FP25" s="58"/>
      <c r="FQ25" s="58"/>
      <c r="FR25" s="58"/>
      <c r="FS25" s="58"/>
      <c r="FT25" s="58"/>
      <c r="FU25" s="58"/>
      <c r="FV25" s="58"/>
      <c r="FW25" s="58"/>
      <c r="FX25" s="58"/>
      <c r="FY25" s="58"/>
      <c r="FZ25" s="58"/>
      <c r="GA25" s="58"/>
      <c r="GB25" s="58"/>
      <c r="GC25" s="58"/>
      <c r="GD25" s="58"/>
      <c r="GE25" s="58"/>
      <c r="GF25" s="58"/>
      <c r="GG25" s="58"/>
      <c r="GH25" s="58"/>
      <c r="GI25" s="58"/>
      <c r="GJ25" s="58"/>
      <c r="GK25" s="58"/>
      <c r="GL25" s="58"/>
      <c r="GM25" s="58"/>
      <c r="GN25" s="58"/>
      <c r="GO25" s="58"/>
      <c r="GP25" s="58"/>
      <c r="GQ25" s="58"/>
      <c r="GR25" s="58"/>
      <c r="GS25" s="58"/>
      <c r="GT25" s="58"/>
      <c r="GU25" s="58"/>
      <c r="GV25" s="58"/>
      <c r="GW25" s="58"/>
      <c r="GX25" s="58"/>
      <c r="GY25" s="58"/>
      <c r="GZ25" s="58"/>
      <c r="HA25" s="58"/>
      <c r="HB25" s="58"/>
      <c r="HC25" s="58"/>
    </row>
    <row r="26" spans="1:211" x14ac:dyDescent="0.25">
      <c r="A26" s="22"/>
      <c r="B26" s="23"/>
      <c r="C26" s="28"/>
      <c r="D26" s="36"/>
      <c r="E26" s="24"/>
      <c r="F26" s="24"/>
      <c r="G26" s="24"/>
      <c r="H26" s="23"/>
      <c r="I26" s="25">
        <f t="shared" si="3"/>
        <v>0</v>
      </c>
      <c r="L26" s="37" t="s">
        <v>21</v>
      </c>
      <c r="M26" s="38"/>
      <c r="N26" s="39"/>
      <c r="T26" s="37" t="s">
        <v>21</v>
      </c>
      <c r="U26" s="39"/>
      <c r="X26" s="37" t="s">
        <v>22</v>
      </c>
      <c r="Y26" s="39"/>
      <c r="AB26" s="37" t="s">
        <v>23</v>
      </c>
      <c r="AC26" s="39"/>
      <c r="AF26" s="37" t="s">
        <v>24</v>
      </c>
      <c r="AG26" s="39"/>
      <c r="AI26" s="37" t="s">
        <v>24</v>
      </c>
      <c r="AJ26" s="39"/>
      <c r="AL26" s="37" t="s">
        <v>25</v>
      </c>
      <c r="AM26" s="39"/>
      <c r="AO26" s="37" t="s">
        <v>25</v>
      </c>
      <c r="AP26" s="39"/>
      <c r="AT26" s="37" t="s">
        <v>20</v>
      </c>
      <c r="AU26" s="39"/>
      <c r="BM26" s="37" t="s">
        <v>8</v>
      </c>
      <c r="BN26" s="39"/>
      <c r="BT26" s="37" t="s">
        <v>8</v>
      </c>
      <c r="BU26" s="39"/>
      <c r="CC26" s="37" t="s">
        <v>8</v>
      </c>
      <c r="CD26" s="39"/>
      <c r="CG26" s="37" t="s">
        <v>8</v>
      </c>
      <c r="CH26" s="39"/>
      <c r="CK26" s="37" t="s">
        <v>8</v>
      </c>
      <c r="CL26" s="39"/>
      <c r="CO26" s="37" t="s">
        <v>8</v>
      </c>
      <c r="CP26" s="39"/>
      <c r="CV26" s="37" t="s">
        <v>8</v>
      </c>
      <c r="CW26" s="39"/>
    </row>
    <row r="27" spans="1:211" x14ac:dyDescent="0.25">
      <c r="A27" s="22" t="s">
        <v>26</v>
      </c>
      <c r="B27" s="23" t="s">
        <v>70</v>
      </c>
      <c r="C27" s="79">
        <f t="shared" ref="C27:C34" si="4">0.06+0.05+0.15+0.2</f>
        <v>0.46</v>
      </c>
      <c r="D27" s="36">
        <v>13.75</v>
      </c>
      <c r="E27" s="24">
        <f t="shared" ref="E27:E34" si="5">D27-C27</f>
        <v>13.29</v>
      </c>
      <c r="F27" s="24">
        <f>(13.53+13.41+13.45)/3</f>
        <v>13.463333333333333</v>
      </c>
      <c r="G27" s="24">
        <f t="shared" ref="G27:G34" si="6">E27-F27</f>
        <v>-0.17333333333333378</v>
      </c>
      <c r="H27" s="23">
        <v>37.590000000000003</v>
      </c>
      <c r="I27" s="25">
        <f t="shared" si="3"/>
        <v>-6.5156000000000178</v>
      </c>
      <c r="L27" s="40"/>
      <c r="M27" s="41">
        <v>13.56</v>
      </c>
      <c r="N27" s="42">
        <v>13.51</v>
      </c>
      <c r="T27" s="40"/>
      <c r="U27" s="42">
        <v>13.45</v>
      </c>
      <c r="X27" s="40"/>
      <c r="Y27" s="42">
        <v>13.68</v>
      </c>
      <c r="AB27" s="40"/>
      <c r="AC27" s="42">
        <v>13.7</v>
      </c>
      <c r="AF27" s="40"/>
      <c r="AG27" s="42">
        <v>13.65</v>
      </c>
      <c r="AI27" s="40"/>
      <c r="AJ27" s="42">
        <v>13.78</v>
      </c>
      <c r="AL27" s="40"/>
      <c r="AM27" s="42">
        <v>13.66</v>
      </c>
      <c r="AO27" s="40"/>
      <c r="AP27" s="42">
        <v>13.65</v>
      </c>
      <c r="AT27" s="40"/>
      <c r="AU27" s="42">
        <v>13.6</v>
      </c>
      <c r="BM27" s="40"/>
      <c r="BN27" s="42">
        <v>13.67</v>
      </c>
      <c r="BT27" s="40"/>
      <c r="BU27" s="42">
        <v>13.67</v>
      </c>
      <c r="CC27" s="40"/>
      <c r="CD27" s="42">
        <v>13.75</v>
      </c>
      <c r="CG27" s="40"/>
      <c r="CH27" s="42">
        <v>13.75</v>
      </c>
      <c r="CK27" s="40"/>
      <c r="CL27" s="42">
        <v>13.75</v>
      </c>
      <c r="CO27" s="40"/>
      <c r="CP27" s="42">
        <v>13.75</v>
      </c>
      <c r="CV27" s="40"/>
      <c r="CW27" s="42">
        <v>13.79</v>
      </c>
    </row>
    <row r="28" spans="1:211" x14ac:dyDescent="0.25">
      <c r="A28" s="22"/>
      <c r="B28" s="23" t="s">
        <v>70</v>
      </c>
      <c r="C28" s="79">
        <f t="shared" si="4"/>
        <v>0.46</v>
      </c>
      <c r="D28" s="36">
        <v>13.75</v>
      </c>
      <c r="E28" s="24">
        <f t="shared" si="5"/>
        <v>13.29</v>
      </c>
      <c r="F28" s="24">
        <f>(13.43+13.51+13.49+13.45+13.52+13.42+13.49)/7</f>
        <v>13.472857142857141</v>
      </c>
      <c r="G28" s="24">
        <f t="shared" si="6"/>
        <v>-0.1828571428571415</v>
      </c>
      <c r="H28" s="23">
        <v>31.93</v>
      </c>
      <c r="I28" s="25">
        <f t="shared" si="3"/>
        <v>-5.8386285714285275</v>
      </c>
      <c r="L28" s="40"/>
      <c r="M28" s="41">
        <v>13.52</v>
      </c>
      <c r="N28" s="42">
        <v>13.39</v>
      </c>
      <c r="T28" s="40"/>
      <c r="U28" s="42">
        <v>13.48</v>
      </c>
      <c r="X28" s="40"/>
      <c r="Y28" s="42">
        <v>13.65</v>
      </c>
      <c r="AB28" s="40"/>
      <c r="AC28" s="42">
        <v>13.7</v>
      </c>
      <c r="AF28" s="40"/>
      <c r="AG28" s="42">
        <v>13.78</v>
      </c>
      <c r="AI28" s="40"/>
      <c r="AJ28" s="42">
        <v>13.65</v>
      </c>
      <c r="AL28" s="40"/>
      <c r="AM28" s="42">
        <v>13.68</v>
      </c>
      <c r="AO28" s="40"/>
      <c r="AP28" s="42">
        <v>13.68</v>
      </c>
      <c r="AT28" s="40"/>
      <c r="AU28" s="42">
        <v>13.6</v>
      </c>
      <c r="BM28" s="40"/>
      <c r="BN28" s="42">
        <v>13.6</v>
      </c>
      <c r="BT28" s="40"/>
      <c r="BU28" s="42">
        <v>13.8</v>
      </c>
      <c r="CC28" s="40"/>
      <c r="CD28" s="42">
        <v>13.68</v>
      </c>
      <c r="CG28" s="40"/>
      <c r="CH28" s="42">
        <v>13.68</v>
      </c>
      <c r="CK28" s="40"/>
      <c r="CL28" s="42">
        <v>13.68</v>
      </c>
      <c r="CO28" s="40"/>
      <c r="CP28" s="42">
        <v>13.68</v>
      </c>
      <c r="CV28" s="40"/>
      <c r="CW28" s="42">
        <v>13.73</v>
      </c>
    </row>
    <row r="29" spans="1:211" x14ac:dyDescent="0.25">
      <c r="A29" s="22"/>
      <c r="B29" s="23" t="s">
        <v>70</v>
      </c>
      <c r="C29" s="79">
        <f t="shared" si="4"/>
        <v>0.46</v>
      </c>
      <c r="D29" s="36">
        <f>(13.75+13.75+13.75+13.7)/4</f>
        <v>13.737500000000001</v>
      </c>
      <c r="E29" s="24">
        <f t="shared" si="5"/>
        <v>13.2775</v>
      </c>
      <c r="F29" s="24">
        <f>BK23</f>
        <v>13.43</v>
      </c>
      <c r="G29" s="24">
        <f t="shared" si="6"/>
        <v>-0.15249999999999986</v>
      </c>
      <c r="H29" s="23">
        <v>78.03</v>
      </c>
      <c r="I29" s="25">
        <f t="shared" si="3"/>
        <v>-11.89957499999999</v>
      </c>
      <c r="L29" s="40"/>
      <c r="M29" s="41">
        <v>13.61</v>
      </c>
      <c r="N29" s="42">
        <v>13.53</v>
      </c>
      <c r="T29" s="40"/>
      <c r="U29" s="42">
        <v>13.58</v>
      </c>
      <c r="X29" s="40"/>
      <c r="Y29" s="42">
        <v>13.65</v>
      </c>
      <c r="AB29" s="40"/>
      <c r="AC29" s="42">
        <v>13.78</v>
      </c>
      <c r="AF29" s="40"/>
      <c r="AG29" s="42">
        <v>13.65</v>
      </c>
      <c r="AI29" s="40"/>
      <c r="AJ29" s="42">
        <v>13.78</v>
      </c>
      <c r="AL29" s="40"/>
      <c r="AM29" s="42">
        <v>13.68</v>
      </c>
      <c r="AO29" s="40"/>
      <c r="AP29" s="42">
        <v>13.6</v>
      </c>
      <c r="AT29" s="40"/>
      <c r="AU29" s="42">
        <v>13.6</v>
      </c>
      <c r="BM29" s="40"/>
      <c r="BN29" s="42">
        <v>13.62</v>
      </c>
      <c r="BT29" s="40"/>
      <c r="BU29" s="42">
        <v>13.65</v>
      </c>
      <c r="CC29" s="40"/>
      <c r="CD29" s="42">
        <v>13.75</v>
      </c>
      <c r="CG29" s="40"/>
      <c r="CH29" s="42">
        <v>13.75</v>
      </c>
      <c r="CK29" s="40"/>
      <c r="CL29" s="42">
        <v>13.75</v>
      </c>
      <c r="CO29" s="40"/>
      <c r="CP29" s="42">
        <v>13.75</v>
      </c>
      <c r="CV29" s="40"/>
      <c r="CW29" s="42">
        <v>13.76</v>
      </c>
    </row>
    <row r="30" spans="1:211" x14ac:dyDescent="0.25">
      <c r="A30" s="22"/>
      <c r="B30" s="23" t="s">
        <v>70</v>
      </c>
      <c r="C30" s="79">
        <f t="shared" si="4"/>
        <v>0.46</v>
      </c>
      <c r="D30" s="36">
        <v>13.75</v>
      </c>
      <c r="E30" s="24">
        <f t="shared" si="5"/>
        <v>13.29</v>
      </c>
      <c r="F30" s="24">
        <f>(13.42+13.59+13.49)/3</f>
        <v>13.5</v>
      </c>
      <c r="G30" s="24">
        <f t="shared" si="6"/>
        <v>-0.21000000000000085</v>
      </c>
      <c r="H30" s="23">
        <v>18.579999999999998</v>
      </c>
      <c r="I30" s="25">
        <f t="shared" si="3"/>
        <v>-3.9018000000000157</v>
      </c>
      <c r="L30" s="40"/>
      <c r="M30" s="41">
        <v>13.61</v>
      </c>
      <c r="N30" s="42"/>
      <c r="T30" s="40"/>
      <c r="U30" s="42">
        <v>13.55</v>
      </c>
      <c r="X30" s="40"/>
      <c r="Y30" s="42">
        <v>13.65</v>
      </c>
      <c r="AB30" s="40"/>
      <c r="AC30" s="42">
        <v>13.78</v>
      </c>
      <c r="AF30" s="40"/>
      <c r="AG30" s="42">
        <v>13.78</v>
      </c>
      <c r="AI30" s="40"/>
      <c r="AJ30" s="42">
        <v>13.65</v>
      </c>
      <c r="AL30" s="40"/>
      <c r="AM30" s="42">
        <v>13.65</v>
      </c>
      <c r="AO30" s="40"/>
      <c r="AP30" s="42">
        <v>13.67</v>
      </c>
      <c r="AT30" s="40"/>
      <c r="AU30" s="42">
        <v>13.65</v>
      </c>
      <c r="BM30" s="40"/>
      <c r="BN30" s="42">
        <v>13.62</v>
      </c>
      <c r="BT30" s="40"/>
      <c r="BU30" s="42">
        <v>13.72</v>
      </c>
      <c r="CC30" s="40"/>
      <c r="CD30" s="42">
        <v>13.67</v>
      </c>
      <c r="CG30" s="40"/>
      <c r="CH30" s="42">
        <v>13.68</v>
      </c>
      <c r="CK30" s="40"/>
      <c r="CL30" s="42">
        <v>13.68</v>
      </c>
      <c r="CO30" s="40"/>
      <c r="CP30" s="42">
        <v>13.7</v>
      </c>
      <c r="CV30" s="40"/>
      <c r="CW30" s="42">
        <v>13.8</v>
      </c>
    </row>
    <row r="31" spans="1:211" x14ac:dyDescent="0.25">
      <c r="A31" s="22"/>
      <c r="B31" s="23" t="s">
        <v>70</v>
      </c>
      <c r="C31" s="79">
        <f t="shared" si="4"/>
        <v>0.46</v>
      </c>
      <c r="D31" s="36">
        <f>(13.75+13.7)/2</f>
        <v>13.725</v>
      </c>
      <c r="E31" s="24">
        <f t="shared" si="5"/>
        <v>13.264999999999999</v>
      </c>
      <c r="F31" s="24">
        <v>13.27</v>
      </c>
      <c r="G31" s="24">
        <f t="shared" si="6"/>
        <v>-5.0000000000007816E-3</v>
      </c>
      <c r="H31" s="23">
        <v>5.4</v>
      </c>
      <c r="I31" s="25">
        <f t="shared" si="3"/>
        <v>-2.7000000000004222E-2</v>
      </c>
      <c r="L31" s="40"/>
      <c r="M31" s="41">
        <v>13.52</v>
      </c>
      <c r="N31" s="42"/>
      <c r="T31" s="40"/>
      <c r="U31" s="42">
        <v>13.71</v>
      </c>
      <c r="X31" s="40"/>
      <c r="Y31" s="42">
        <v>13.65</v>
      </c>
      <c r="AB31" s="40"/>
      <c r="AC31" s="42">
        <v>13.8</v>
      </c>
      <c r="AF31" s="40"/>
      <c r="AG31" s="42"/>
      <c r="AI31" s="40"/>
      <c r="AJ31" s="42"/>
      <c r="AL31" s="40"/>
      <c r="AM31" s="42"/>
      <c r="AO31" s="40"/>
      <c r="AP31" s="42">
        <v>13.65</v>
      </c>
      <c r="AT31" s="40"/>
      <c r="AU31" s="42"/>
      <c r="BM31" s="40"/>
      <c r="BN31" s="42">
        <v>13.6</v>
      </c>
      <c r="BT31" s="40"/>
      <c r="BU31" s="42">
        <v>13.72</v>
      </c>
      <c r="CC31" s="40"/>
      <c r="CD31" s="42">
        <v>13.75</v>
      </c>
      <c r="CG31" s="40"/>
      <c r="CH31" s="42">
        <v>13.68</v>
      </c>
      <c r="CK31" s="40"/>
      <c r="CL31" s="42">
        <v>13.75</v>
      </c>
      <c r="CO31" s="40"/>
      <c r="CP31" s="42">
        <v>13.75</v>
      </c>
      <c r="CV31" s="40"/>
      <c r="CW31" s="42">
        <v>13.8</v>
      </c>
    </row>
    <row r="32" spans="1:211" x14ac:dyDescent="0.25">
      <c r="A32" s="22"/>
      <c r="B32" s="23" t="s">
        <v>70</v>
      </c>
      <c r="C32" s="79">
        <f t="shared" si="4"/>
        <v>0.46</v>
      </c>
      <c r="D32" s="36">
        <f>(13.75+13.75+13.68)/3</f>
        <v>13.726666666666667</v>
      </c>
      <c r="E32" s="24">
        <f t="shared" si="5"/>
        <v>13.266666666666666</v>
      </c>
      <c r="F32" s="24">
        <f>(13.54+13.41+13.48)/3</f>
        <v>13.476666666666667</v>
      </c>
      <c r="G32" s="24">
        <f t="shared" si="6"/>
        <v>-0.21000000000000085</v>
      </c>
      <c r="H32" s="23">
        <v>17.88</v>
      </c>
      <c r="I32" s="25">
        <f t="shared" si="3"/>
        <v>-3.754800000000015</v>
      </c>
      <c r="L32" s="40"/>
      <c r="M32" s="41">
        <v>13.59</v>
      </c>
      <c r="N32" s="42"/>
      <c r="T32" s="40"/>
      <c r="U32" s="42">
        <v>13.51</v>
      </c>
      <c r="X32" s="40"/>
      <c r="Y32" s="42">
        <v>13.75</v>
      </c>
      <c r="AB32" s="40"/>
      <c r="AC32" s="42">
        <v>13.75</v>
      </c>
      <c r="AF32" s="40"/>
      <c r="AG32" s="42"/>
      <c r="AI32" s="40"/>
      <c r="AJ32" s="42"/>
      <c r="AL32" s="40"/>
      <c r="AM32" s="42"/>
      <c r="AO32" s="40"/>
      <c r="AP32" s="42">
        <v>13.65</v>
      </c>
      <c r="AT32" s="40"/>
      <c r="AU32" s="42"/>
      <c r="BM32" s="40"/>
      <c r="BN32" s="42">
        <v>13.62</v>
      </c>
      <c r="BT32" s="40"/>
      <c r="BU32" s="42">
        <v>13.65</v>
      </c>
      <c r="CC32" s="40"/>
      <c r="CD32" s="42">
        <v>13.68</v>
      </c>
      <c r="CG32" s="40"/>
      <c r="CH32" s="42">
        <v>13.75</v>
      </c>
      <c r="CK32" s="40"/>
      <c r="CL32" s="42">
        <v>13.75</v>
      </c>
      <c r="CO32" s="40"/>
      <c r="CP32" s="42">
        <v>13.7</v>
      </c>
      <c r="CV32" s="40"/>
      <c r="CW32" s="42">
        <v>13.68</v>
      </c>
    </row>
    <row r="33" spans="1:101" x14ac:dyDescent="0.25">
      <c r="A33" s="22"/>
      <c r="B33" s="23" t="s">
        <v>70</v>
      </c>
      <c r="C33" s="79">
        <f t="shared" si="4"/>
        <v>0.46</v>
      </c>
      <c r="D33" s="36">
        <f>(13.75+13.67)/2</f>
        <v>13.71</v>
      </c>
      <c r="E33" s="24">
        <f t="shared" si="5"/>
        <v>13.25</v>
      </c>
      <c r="F33" s="24">
        <f>(13.57+13.6+13.49+13.51)/4</f>
        <v>13.5425</v>
      </c>
      <c r="G33" s="24">
        <f t="shared" si="6"/>
        <v>-0.29250000000000043</v>
      </c>
      <c r="H33" s="23">
        <f>8.81</f>
        <v>8.81</v>
      </c>
      <c r="I33" s="25">
        <f t="shared" ref="I33:I71" si="7">H33*G33</f>
        <v>-2.5769250000000037</v>
      </c>
      <c r="L33" s="40"/>
      <c r="M33" s="41">
        <v>13.52</v>
      </c>
      <c r="N33" s="42"/>
      <c r="T33" s="40"/>
      <c r="U33" s="42">
        <v>13.66</v>
      </c>
      <c r="X33" s="40"/>
      <c r="Y33" s="42">
        <v>13.65</v>
      </c>
      <c r="AB33" s="40"/>
      <c r="AC33" s="42">
        <v>13.75</v>
      </c>
      <c r="AF33" s="40"/>
      <c r="AG33" s="42"/>
      <c r="AI33" s="40"/>
      <c r="AJ33" s="42"/>
      <c r="AL33" s="40"/>
      <c r="AM33" s="42"/>
      <c r="AO33" s="40"/>
      <c r="AP33" s="42">
        <v>13.61</v>
      </c>
      <c r="AT33" s="40"/>
      <c r="AU33" s="42"/>
      <c r="BM33" s="40"/>
      <c r="BN33" s="42">
        <v>13.67</v>
      </c>
      <c r="BT33" s="40"/>
      <c r="BU33" s="42">
        <v>13.8</v>
      </c>
      <c r="CC33" s="40"/>
      <c r="CD33" s="42"/>
      <c r="CG33" s="40"/>
      <c r="CH33" s="42">
        <v>13.68</v>
      </c>
      <c r="CK33" s="40"/>
      <c r="CL33" s="42">
        <v>13.68</v>
      </c>
      <c r="CO33" s="40"/>
      <c r="CP33" s="42">
        <v>13.75</v>
      </c>
      <c r="CV33" s="40"/>
      <c r="CW33" s="42">
        <v>13.8</v>
      </c>
    </row>
    <row r="34" spans="1:101" x14ac:dyDescent="0.25">
      <c r="A34" s="22"/>
      <c r="B34" s="23" t="s">
        <v>70</v>
      </c>
      <c r="C34" s="79">
        <f t="shared" si="4"/>
        <v>0.46</v>
      </c>
      <c r="D34" s="36">
        <f>(13.75+13.75+13.68)/3</f>
        <v>13.726666666666667</v>
      </c>
      <c r="E34" s="24">
        <f t="shared" si="5"/>
        <v>13.266666666666666</v>
      </c>
      <c r="F34" s="24">
        <f>(13.73+13.74+13.7+13.35+13.36+13.37)/6</f>
        <v>13.541666666666666</v>
      </c>
      <c r="G34" s="24">
        <f t="shared" si="6"/>
        <v>-0.27500000000000036</v>
      </c>
      <c r="H34" s="23">
        <f>16.38</f>
        <v>16.38</v>
      </c>
      <c r="I34" s="25">
        <f t="shared" si="7"/>
        <v>-4.5045000000000055</v>
      </c>
      <c r="L34" s="40"/>
      <c r="M34" s="41">
        <v>13.53</v>
      </c>
      <c r="N34" s="42"/>
      <c r="T34" s="40"/>
      <c r="U34" s="42">
        <v>13.66</v>
      </c>
      <c r="X34" s="40"/>
      <c r="Y34" s="42">
        <v>13.65</v>
      </c>
      <c r="AB34" s="40"/>
      <c r="AC34" s="42">
        <v>13.7</v>
      </c>
      <c r="AF34" s="40"/>
      <c r="AG34" s="42"/>
      <c r="AI34" s="40"/>
      <c r="AJ34" s="42"/>
      <c r="AL34" s="40"/>
      <c r="AM34" s="42"/>
      <c r="AO34" s="40"/>
      <c r="AP34" s="42">
        <v>13.65</v>
      </c>
      <c r="AT34" s="40"/>
      <c r="AU34" s="42"/>
      <c r="BM34" s="40"/>
      <c r="BN34" s="42">
        <v>13.65</v>
      </c>
      <c r="BT34" s="40"/>
      <c r="BU34" s="42">
        <v>13.67</v>
      </c>
      <c r="CC34" s="40"/>
      <c r="CD34" s="42"/>
      <c r="CG34" s="40"/>
      <c r="CH34" s="42">
        <v>13.68</v>
      </c>
      <c r="CK34" s="40"/>
      <c r="CL34" s="42">
        <v>13.68</v>
      </c>
      <c r="CO34" s="40"/>
      <c r="CP34" s="42">
        <v>13.7</v>
      </c>
      <c r="CV34" s="40"/>
      <c r="CW34" s="42">
        <v>13.73</v>
      </c>
    </row>
    <row r="35" spans="1:101" x14ac:dyDescent="0.25">
      <c r="A35" s="22"/>
      <c r="B35" s="23"/>
      <c r="C35" s="28"/>
      <c r="D35" s="36"/>
      <c r="E35" s="24"/>
      <c r="F35" s="24"/>
      <c r="G35" s="24"/>
      <c r="H35" s="23"/>
      <c r="I35" s="25">
        <f t="shared" si="7"/>
        <v>0</v>
      </c>
      <c r="L35" s="40"/>
      <c r="M35" s="41">
        <v>13.56</v>
      </c>
      <c r="N35" s="42"/>
      <c r="T35" s="40"/>
      <c r="U35" s="42">
        <v>13.46</v>
      </c>
      <c r="X35" s="40"/>
      <c r="Y35" s="42">
        <v>13.65</v>
      </c>
      <c r="AB35" s="40"/>
      <c r="AC35" s="42">
        <v>13.75</v>
      </c>
      <c r="AF35" s="40"/>
      <c r="AG35" s="42"/>
      <c r="AI35" s="40"/>
      <c r="AJ35" s="42"/>
      <c r="AL35" s="40"/>
      <c r="AM35" s="42"/>
      <c r="AO35" s="40"/>
      <c r="AP35" s="42">
        <v>13.67</v>
      </c>
      <c r="AT35" s="40"/>
      <c r="AU35" s="42"/>
      <c r="BM35" s="40"/>
      <c r="BN35" s="42">
        <v>13.65</v>
      </c>
      <c r="BT35" s="40"/>
      <c r="BU35" s="42">
        <v>13.6</v>
      </c>
      <c r="CC35" s="40"/>
      <c r="CD35" s="42"/>
      <c r="CG35" s="40"/>
      <c r="CH35" s="42">
        <v>13.75</v>
      </c>
      <c r="CK35" s="40"/>
      <c r="CL35" s="42">
        <v>13.75</v>
      </c>
      <c r="CO35" s="40"/>
      <c r="CP35" s="42">
        <v>13.75</v>
      </c>
      <c r="CV35" s="40"/>
      <c r="CW35" s="42">
        <v>13.77</v>
      </c>
    </row>
    <row r="36" spans="1:101" x14ac:dyDescent="0.25">
      <c r="A36" s="22" t="s">
        <v>8</v>
      </c>
      <c r="B36" s="23" t="s">
        <v>8</v>
      </c>
      <c r="C36" s="28">
        <v>0.15</v>
      </c>
      <c r="D36" s="36">
        <f>BN47</f>
        <v>13.633333333333335</v>
      </c>
      <c r="E36" s="24">
        <f t="shared" ref="E36:E44" si="8">D36-C36</f>
        <v>13.483333333333334</v>
      </c>
      <c r="F36" s="24">
        <f>BR23</f>
        <v>13.635333333333342</v>
      </c>
      <c r="G36" s="24">
        <f t="shared" ref="G36:G44" si="9">E36-F36</f>
        <v>-0.15200000000000813</v>
      </c>
      <c r="H36" s="23">
        <v>723.5</v>
      </c>
      <c r="I36" s="25">
        <f t="shared" si="7"/>
        <v>-109.97200000000588</v>
      </c>
      <c r="L36" s="40"/>
      <c r="M36" s="41">
        <v>13.6</v>
      </c>
      <c r="N36" s="42"/>
      <c r="T36" s="40"/>
      <c r="U36" s="42"/>
      <c r="X36" s="40"/>
      <c r="Y36" s="42">
        <v>13.65</v>
      </c>
      <c r="AB36" s="40"/>
      <c r="AC36" s="42">
        <v>13.8</v>
      </c>
      <c r="AF36" s="40"/>
      <c r="AG36" s="42"/>
      <c r="AI36" s="40"/>
      <c r="AJ36" s="42"/>
      <c r="AL36" s="40"/>
      <c r="AM36" s="42"/>
      <c r="AO36" s="40"/>
      <c r="AP36" s="42">
        <v>13.6</v>
      </c>
      <c r="AT36" s="40"/>
      <c r="AU36" s="42"/>
      <c r="BM36" s="40"/>
      <c r="BN36" s="42"/>
      <c r="BT36" s="40"/>
      <c r="BU36" s="42">
        <v>13.65</v>
      </c>
      <c r="CC36" s="40"/>
      <c r="CD36" s="42"/>
      <c r="CG36" s="40"/>
      <c r="CH36" s="42"/>
      <c r="CK36" s="40"/>
      <c r="CL36" s="42">
        <v>13.68</v>
      </c>
      <c r="CO36" s="40"/>
      <c r="CP36" s="42">
        <v>13.7</v>
      </c>
      <c r="CV36" s="40"/>
      <c r="CW36" s="42">
        <v>13.8</v>
      </c>
    </row>
    <row r="37" spans="1:101" x14ac:dyDescent="0.25">
      <c r="A37" s="22"/>
      <c r="B37" s="23" t="s">
        <v>8</v>
      </c>
      <c r="C37" s="28">
        <v>0.15</v>
      </c>
      <c r="D37" s="36">
        <f>BU47</f>
        <v>13.682142857142855</v>
      </c>
      <c r="E37" s="24">
        <f t="shared" si="8"/>
        <v>13.532142857142855</v>
      </c>
      <c r="F37" s="24">
        <f>BX23</f>
        <v>13.684000000000003</v>
      </c>
      <c r="G37" s="24">
        <f t="shared" si="9"/>
        <v>-0.15185714285714802</v>
      </c>
      <c r="H37" s="23">
        <v>701.35</v>
      </c>
      <c r="I37" s="25">
        <f t="shared" si="7"/>
        <v>-106.50500714286076</v>
      </c>
      <c r="L37" s="40"/>
      <c r="M37" s="41">
        <v>13.6</v>
      </c>
      <c r="N37" s="42"/>
      <c r="T37" s="40"/>
      <c r="U37" s="42"/>
      <c r="X37" s="40"/>
      <c r="Y37" s="42">
        <v>13.68</v>
      </c>
      <c r="AB37" s="40"/>
      <c r="AC37" s="42">
        <v>13.7</v>
      </c>
      <c r="AF37" s="40"/>
      <c r="AG37" s="42"/>
      <c r="AI37" s="40"/>
      <c r="AJ37" s="42"/>
      <c r="AL37" s="40"/>
      <c r="AM37" s="42"/>
      <c r="AO37" s="40"/>
      <c r="AP37" s="42">
        <v>13.66</v>
      </c>
      <c r="AT37" s="40"/>
      <c r="AU37" s="42"/>
      <c r="BM37" s="40"/>
      <c r="BN37" s="42"/>
      <c r="BT37" s="40"/>
      <c r="BU37" s="42">
        <v>13.64</v>
      </c>
      <c r="CC37" s="40"/>
      <c r="CD37" s="42"/>
      <c r="CG37" s="40"/>
      <c r="CH37" s="42"/>
      <c r="CK37" s="40"/>
      <c r="CL37" s="42"/>
      <c r="CO37" s="40"/>
      <c r="CP37" s="42"/>
      <c r="CV37" s="40"/>
      <c r="CW37" s="42">
        <v>13.73</v>
      </c>
    </row>
    <row r="38" spans="1:101" x14ac:dyDescent="0.25">
      <c r="A38" s="22"/>
      <c r="B38" s="23" t="s">
        <v>8</v>
      </c>
      <c r="C38" s="28">
        <v>0.15</v>
      </c>
      <c r="D38" s="36">
        <v>13.65</v>
      </c>
      <c r="E38" s="24">
        <f t="shared" si="8"/>
        <v>13.5</v>
      </c>
      <c r="F38" s="24">
        <f>CA23</f>
        <v>13.726111111111113</v>
      </c>
      <c r="G38" s="24">
        <f t="shared" si="9"/>
        <v>-0.22611111111111271</v>
      </c>
      <c r="H38" s="23">
        <f>83.51</f>
        <v>83.51</v>
      </c>
      <c r="I38" s="25">
        <f t="shared" si="7"/>
        <v>-18.882538888889023</v>
      </c>
      <c r="L38" s="40"/>
      <c r="M38" s="41">
        <v>13.5</v>
      </c>
      <c r="N38" s="42"/>
      <c r="T38" s="40"/>
      <c r="U38" s="42"/>
      <c r="X38" s="40"/>
      <c r="Y38" s="42">
        <v>13.65</v>
      </c>
      <c r="AB38" s="40"/>
      <c r="AC38" s="42">
        <v>13.75</v>
      </c>
      <c r="AF38" s="40"/>
      <c r="AG38" s="42"/>
      <c r="AI38" s="40"/>
      <c r="AJ38" s="42"/>
      <c r="AL38" s="40"/>
      <c r="AM38" s="42"/>
      <c r="AO38" s="40"/>
      <c r="AP38" s="42">
        <v>13.66</v>
      </c>
      <c r="AT38" s="40"/>
      <c r="AU38" s="42"/>
      <c r="BM38" s="40"/>
      <c r="BN38" s="42"/>
      <c r="BT38" s="40"/>
      <c r="BU38" s="42">
        <v>13.64</v>
      </c>
      <c r="CC38" s="40"/>
      <c r="CD38" s="42"/>
      <c r="CG38" s="40"/>
      <c r="CH38" s="42"/>
      <c r="CK38" s="40"/>
      <c r="CL38" s="42"/>
      <c r="CO38" s="40"/>
      <c r="CP38" s="42"/>
      <c r="CV38" s="40"/>
      <c r="CW38" s="42">
        <v>13.59</v>
      </c>
    </row>
    <row r="39" spans="1:101" x14ac:dyDescent="0.25">
      <c r="A39" s="22"/>
      <c r="B39" s="23" t="s">
        <v>8</v>
      </c>
      <c r="C39" s="28">
        <v>0.15</v>
      </c>
      <c r="D39" s="36">
        <f>CD47</f>
        <v>13.713333333333333</v>
      </c>
      <c r="E39" s="24">
        <f t="shared" si="8"/>
        <v>13.563333333333333</v>
      </c>
      <c r="F39" s="24">
        <f>CE23</f>
        <v>13.591379310344825</v>
      </c>
      <c r="G39" s="24">
        <f t="shared" si="9"/>
        <v>-2.8045977011492695E-2</v>
      </c>
      <c r="H39" s="23">
        <f>168.41+6.2+4.37</f>
        <v>178.98</v>
      </c>
      <c r="I39" s="25">
        <f t="shared" si="7"/>
        <v>-5.0196689655169626</v>
      </c>
      <c r="L39" s="40"/>
      <c r="M39" s="41">
        <v>13.55</v>
      </c>
      <c r="N39" s="42"/>
      <c r="T39" s="40"/>
      <c r="U39" s="42"/>
      <c r="X39" s="40"/>
      <c r="Y39" s="42">
        <v>13.68</v>
      </c>
      <c r="AB39" s="40"/>
      <c r="AC39" s="42">
        <v>13.63</v>
      </c>
      <c r="AF39" s="40"/>
      <c r="AG39" s="42"/>
      <c r="AI39" s="40"/>
      <c r="AJ39" s="42"/>
      <c r="AL39" s="40"/>
      <c r="AM39" s="42"/>
      <c r="AO39" s="40"/>
      <c r="AP39" s="42">
        <v>13.66</v>
      </c>
      <c r="AT39" s="40"/>
      <c r="AU39" s="42"/>
      <c r="BM39" s="40"/>
      <c r="BN39" s="42"/>
      <c r="BT39" s="40"/>
      <c r="BU39" s="42">
        <v>13.74</v>
      </c>
      <c r="CC39" s="40"/>
      <c r="CD39" s="42"/>
      <c r="CG39" s="40"/>
      <c r="CH39" s="42"/>
      <c r="CK39" s="40"/>
      <c r="CL39" s="42"/>
      <c r="CO39" s="40"/>
      <c r="CP39" s="42"/>
      <c r="CV39" s="40"/>
      <c r="CW39" s="42"/>
    </row>
    <row r="40" spans="1:101" x14ac:dyDescent="0.25">
      <c r="A40" s="22"/>
      <c r="B40" s="23" t="s">
        <v>8</v>
      </c>
      <c r="C40" s="28">
        <v>0.15</v>
      </c>
      <c r="D40" s="36">
        <f>CH47</f>
        <v>13.711111111111112</v>
      </c>
      <c r="E40" s="24">
        <f t="shared" si="8"/>
        <v>13.561111111111112</v>
      </c>
      <c r="F40" s="24">
        <f>CI23</f>
        <v>13.462500000000002</v>
      </c>
      <c r="G40" s="24">
        <f t="shared" si="9"/>
        <v>9.8611111111109651E-2</v>
      </c>
      <c r="H40" s="23">
        <f>266.84</f>
        <v>266.83999999999997</v>
      </c>
      <c r="I40" s="25">
        <f t="shared" si="7"/>
        <v>26.313388888888497</v>
      </c>
      <c r="L40" s="40"/>
      <c r="M40" s="41">
        <v>13.6</v>
      </c>
      <c r="N40" s="42"/>
      <c r="T40" s="40"/>
      <c r="U40" s="42"/>
      <c r="X40" s="40"/>
      <c r="Y40" s="42">
        <v>13.63</v>
      </c>
      <c r="AB40" s="40"/>
      <c r="AC40" s="42"/>
      <c r="AF40" s="40"/>
      <c r="AG40" s="42"/>
      <c r="AI40" s="40"/>
      <c r="AJ40" s="42"/>
      <c r="AL40" s="40"/>
      <c r="AM40" s="42"/>
      <c r="AO40" s="40"/>
      <c r="AP40" s="42">
        <v>13.66</v>
      </c>
      <c r="AT40" s="40"/>
      <c r="AU40" s="42"/>
      <c r="BM40" s="40"/>
      <c r="BN40" s="42"/>
      <c r="BT40" s="40"/>
      <c r="BU40" s="42">
        <v>13.6</v>
      </c>
      <c r="CC40" s="40"/>
      <c r="CD40" s="42"/>
      <c r="CG40" s="40"/>
      <c r="CH40" s="42"/>
      <c r="CK40" s="40"/>
      <c r="CL40" s="42"/>
      <c r="CO40" s="40"/>
      <c r="CP40" s="42"/>
      <c r="CV40" s="40"/>
      <c r="CW40" s="42"/>
    </row>
    <row r="41" spans="1:101" x14ac:dyDescent="0.25">
      <c r="A41" s="22"/>
      <c r="B41" s="23" t="s">
        <v>8</v>
      </c>
      <c r="C41" s="28">
        <v>0.15</v>
      </c>
      <c r="D41" s="36">
        <f>CL47</f>
        <v>13.715</v>
      </c>
      <c r="E41" s="24">
        <f t="shared" si="8"/>
        <v>13.565</v>
      </c>
      <c r="F41" s="24">
        <f>CM23</f>
        <v>13.491666666666667</v>
      </c>
      <c r="G41" s="24">
        <f t="shared" si="9"/>
        <v>7.3333333333332362E-2</v>
      </c>
      <c r="H41" s="23">
        <f>239.9</f>
        <v>239.9</v>
      </c>
      <c r="I41" s="25">
        <f t="shared" si="7"/>
        <v>17.592666666666435</v>
      </c>
      <c r="L41" s="40"/>
      <c r="M41" s="41">
        <v>13.53</v>
      </c>
      <c r="N41" s="42"/>
      <c r="T41" s="40"/>
      <c r="U41" s="42"/>
      <c r="X41" s="40"/>
      <c r="Y41" s="42"/>
      <c r="AB41" s="40"/>
      <c r="AC41" s="42"/>
      <c r="AF41" s="40"/>
      <c r="AG41" s="42"/>
      <c r="AI41" s="40"/>
      <c r="AJ41" s="42"/>
      <c r="AL41" s="40"/>
      <c r="AM41" s="42"/>
      <c r="AO41" s="40"/>
      <c r="AP41" s="42"/>
      <c r="AT41" s="40"/>
      <c r="AU41" s="42"/>
      <c r="BM41" s="40"/>
      <c r="BN41" s="42"/>
      <c r="BT41" s="40"/>
      <c r="BU41" s="42"/>
      <c r="CC41" s="40"/>
      <c r="CD41" s="42"/>
      <c r="CG41" s="40"/>
      <c r="CH41" s="42"/>
      <c r="CK41" s="40"/>
      <c r="CL41" s="42"/>
      <c r="CO41" s="40"/>
      <c r="CP41" s="42"/>
      <c r="CV41" s="40"/>
      <c r="CW41" s="42"/>
    </row>
    <row r="42" spans="1:101" x14ac:dyDescent="0.25">
      <c r="A42" s="22"/>
      <c r="B42" s="23" t="s">
        <v>8</v>
      </c>
      <c r="C42" s="28">
        <v>0.15</v>
      </c>
      <c r="D42" s="36">
        <f>CP47</f>
        <v>13.722999999999999</v>
      </c>
      <c r="E42" s="24">
        <f t="shared" si="8"/>
        <v>13.572999999999999</v>
      </c>
      <c r="F42" s="24">
        <f>CQ23</f>
        <v>13.380800000000001</v>
      </c>
      <c r="G42" s="24">
        <f t="shared" si="9"/>
        <v>0.19219999999999793</v>
      </c>
      <c r="H42" s="23">
        <f>183.23</f>
        <v>183.23</v>
      </c>
      <c r="I42" s="25">
        <f t="shared" si="7"/>
        <v>35.216805999999622</v>
      </c>
      <c r="L42" s="40"/>
      <c r="M42" s="41">
        <v>13.52</v>
      </c>
      <c r="N42" s="42"/>
      <c r="T42" s="40"/>
      <c r="U42" s="42"/>
      <c r="X42" s="40"/>
      <c r="Y42" s="42"/>
      <c r="AB42" s="40"/>
      <c r="AC42" s="42"/>
      <c r="AF42" s="40"/>
      <c r="AG42" s="42"/>
      <c r="AI42" s="40"/>
      <c r="AJ42" s="42"/>
      <c r="AL42" s="40"/>
      <c r="AM42" s="42"/>
      <c r="AO42" s="40"/>
      <c r="AP42" s="42"/>
      <c r="AT42" s="40"/>
      <c r="AU42" s="42"/>
      <c r="BM42" s="40"/>
      <c r="BN42" s="42"/>
      <c r="BT42" s="40"/>
      <c r="BU42" s="42"/>
      <c r="CC42" s="40"/>
      <c r="CD42" s="42"/>
      <c r="CG42" s="40"/>
      <c r="CH42" s="42"/>
      <c r="CK42" s="40"/>
      <c r="CL42" s="42"/>
      <c r="CO42" s="40"/>
      <c r="CP42" s="42"/>
      <c r="CV42" s="40"/>
      <c r="CW42" s="42"/>
    </row>
    <row r="43" spans="1:101" x14ac:dyDescent="0.25">
      <c r="A43" s="22"/>
      <c r="B43" s="23" t="s">
        <v>8</v>
      </c>
      <c r="C43" s="28">
        <v>0.15</v>
      </c>
      <c r="D43" s="36">
        <f>(13.62+13.64+13.65)/3</f>
        <v>13.636666666666665</v>
      </c>
      <c r="E43" s="24">
        <f t="shared" si="8"/>
        <v>13.486666666666665</v>
      </c>
      <c r="F43" s="24">
        <f>CT23</f>
        <v>13.815555555555555</v>
      </c>
      <c r="G43" s="24">
        <f t="shared" si="9"/>
        <v>-0.32888888888889056</v>
      </c>
      <c r="H43" s="23">
        <f>171.62</f>
        <v>171.62</v>
      </c>
      <c r="I43" s="25">
        <f t="shared" si="7"/>
        <v>-56.443911111111397</v>
      </c>
      <c r="L43" s="40"/>
      <c r="M43" s="41">
        <v>13.57</v>
      </c>
      <c r="N43" s="42"/>
      <c r="T43" s="40"/>
      <c r="U43" s="42"/>
      <c r="X43" s="40"/>
      <c r="Y43" s="42"/>
      <c r="AB43" s="40"/>
      <c r="AC43" s="42"/>
      <c r="AF43" s="40"/>
      <c r="AG43" s="42"/>
      <c r="AI43" s="40"/>
      <c r="AJ43" s="42"/>
      <c r="AL43" s="40"/>
      <c r="AM43" s="42"/>
      <c r="AO43" s="40"/>
      <c r="AP43" s="42"/>
      <c r="AT43" s="40"/>
      <c r="AU43" s="42"/>
      <c r="BM43" s="40"/>
      <c r="BN43" s="42"/>
      <c r="BT43" s="40"/>
      <c r="BU43" s="42"/>
      <c r="CC43" s="40"/>
      <c r="CD43" s="42"/>
      <c r="CG43" s="40"/>
      <c r="CH43" s="42"/>
      <c r="CK43" s="40"/>
      <c r="CL43" s="42"/>
      <c r="CO43" s="40"/>
      <c r="CP43" s="42"/>
      <c r="CV43" s="40"/>
      <c r="CW43" s="42"/>
    </row>
    <row r="44" spans="1:101" x14ac:dyDescent="0.25">
      <c r="A44" s="22"/>
      <c r="B44" s="23" t="s">
        <v>8</v>
      </c>
      <c r="C44" s="28">
        <v>0.15</v>
      </c>
      <c r="D44" s="36">
        <f>CW47</f>
        <v>13.748333333333333</v>
      </c>
      <c r="E44" s="24">
        <f t="shared" si="8"/>
        <v>13.598333333333333</v>
      </c>
      <c r="F44" s="24">
        <f>CX23</f>
        <v>14.031499999999999</v>
      </c>
      <c r="G44" s="24">
        <f t="shared" si="9"/>
        <v>-0.4331666666666667</v>
      </c>
      <c r="H44" s="23">
        <v>206.64</v>
      </c>
      <c r="I44" s="25">
        <f t="shared" si="7"/>
        <v>-89.509560000000008</v>
      </c>
      <c r="L44" s="40"/>
      <c r="M44" s="41">
        <v>13.55</v>
      </c>
      <c r="N44" s="42"/>
      <c r="T44" s="40"/>
      <c r="U44" s="42"/>
      <c r="X44" s="40"/>
      <c r="Y44" s="42"/>
      <c r="AB44" s="40"/>
      <c r="AC44" s="42"/>
      <c r="AF44" s="40"/>
      <c r="AG44" s="42"/>
      <c r="AI44" s="40"/>
      <c r="AJ44" s="42"/>
      <c r="AL44" s="40"/>
      <c r="AM44" s="42"/>
      <c r="AO44" s="40"/>
      <c r="AP44" s="42"/>
      <c r="AT44" s="40"/>
      <c r="AU44" s="42"/>
      <c r="BM44" s="40"/>
      <c r="BN44" s="42"/>
      <c r="BT44" s="40"/>
      <c r="BU44" s="42"/>
      <c r="CC44" s="40"/>
      <c r="CD44" s="42"/>
      <c r="CG44" s="40"/>
      <c r="CH44" s="42"/>
      <c r="CK44" s="40"/>
      <c r="CL44" s="42"/>
      <c r="CO44" s="40"/>
      <c r="CP44" s="42"/>
      <c r="CV44" s="40"/>
      <c r="CW44" s="42"/>
    </row>
    <row r="45" spans="1:101" x14ac:dyDescent="0.25">
      <c r="A45" s="22"/>
      <c r="B45" s="23"/>
      <c r="C45" s="28"/>
      <c r="D45" s="36"/>
      <c r="E45" s="24"/>
      <c r="F45" s="24"/>
      <c r="G45" s="24"/>
      <c r="H45" s="23"/>
      <c r="I45" s="25">
        <f t="shared" si="7"/>
        <v>0</v>
      </c>
      <c r="L45" s="40"/>
      <c r="M45" s="41">
        <v>13.6</v>
      </c>
      <c r="N45" s="42"/>
      <c r="T45" s="40"/>
      <c r="U45" s="42"/>
      <c r="X45" s="40"/>
      <c r="Y45" s="42"/>
      <c r="AB45" s="40"/>
      <c r="AC45" s="42"/>
      <c r="AF45" s="40"/>
      <c r="AG45" s="42"/>
      <c r="AI45" s="40"/>
      <c r="AJ45" s="42"/>
      <c r="AL45" s="40"/>
      <c r="AM45" s="42"/>
      <c r="AO45" s="40"/>
      <c r="AP45" s="42"/>
      <c r="AT45" s="40"/>
      <c r="AU45" s="42"/>
      <c r="BM45" s="40"/>
      <c r="BN45" s="42"/>
      <c r="BT45" s="40"/>
      <c r="BU45" s="42"/>
      <c r="CC45" s="40"/>
      <c r="CD45" s="42"/>
      <c r="CG45" s="40"/>
      <c r="CH45" s="42"/>
      <c r="CK45" s="40"/>
      <c r="CL45" s="42"/>
      <c r="CO45" s="40"/>
      <c r="CP45" s="42"/>
      <c r="CV45" s="40"/>
      <c r="CW45" s="42"/>
    </row>
    <row r="46" spans="1:101" ht="15.75" thickBot="1" x14ac:dyDescent="0.3">
      <c r="A46" s="22" t="s">
        <v>49</v>
      </c>
      <c r="B46" s="23" t="s">
        <v>49</v>
      </c>
      <c r="C46" s="71">
        <f>0.03+(0.12+0.22)/2</f>
        <v>0.19999999999999998</v>
      </c>
      <c r="D46" s="36">
        <v>13.75</v>
      </c>
      <c r="E46" s="24">
        <f>D46-C46</f>
        <v>13.55</v>
      </c>
      <c r="F46" s="24">
        <f>DC23</f>
        <v>13.464166666666669</v>
      </c>
      <c r="G46" s="24">
        <f>E46-F46</f>
        <v>8.5833333333331652E-2</v>
      </c>
      <c r="H46" s="23">
        <v>202</v>
      </c>
      <c r="I46" s="25">
        <f t="shared" si="7"/>
        <v>17.338333333332994</v>
      </c>
      <c r="L46" s="43"/>
      <c r="M46" s="44">
        <v>13.5</v>
      </c>
      <c r="N46" s="45"/>
      <c r="T46" s="43"/>
      <c r="U46" s="45"/>
      <c r="X46" s="43"/>
      <c r="Y46" s="45"/>
      <c r="AB46" s="43"/>
      <c r="AC46" s="45"/>
      <c r="AF46" s="43"/>
      <c r="AG46" s="45"/>
      <c r="AI46" s="43"/>
      <c r="AJ46" s="45"/>
      <c r="AL46" s="43"/>
      <c r="AM46" s="45"/>
      <c r="AO46" s="43"/>
      <c r="AP46" s="45"/>
      <c r="AT46" s="43"/>
      <c r="AU46" s="45"/>
      <c r="BM46" s="43"/>
      <c r="BN46" s="45"/>
      <c r="BT46" s="43"/>
      <c r="BU46" s="45"/>
      <c r="CC46" s="43"/>
      <c r="CD46" s="45"/>
      <c r="CG46" s="43"/>
      <c r="CH46" s="45"/>
      <c r="CK46" s="43"/>
      <c r="CL46" s="45"/>
      <c r="CO46" s="43"/>
      <c r="CP46" s="45"/>
      <c r="CV46" s="43"/>
      <c r="CW46" s="45"/>
    </row>
    <row r="47" spans="1:101" ht="18.75" x14ac:dyDescent="0.3">
      <c r="A47" s="72"/>
      <c r="B47" s="59"/>
      <c r="C47" s="71"/>
      <c r="D47" s="36"/>
      <c r="E47" s="24"/>
      <c r="F47" s="24"/>
      <c r="G47" s="24"/>
      <c r="H47" s="23"/>
      <c r="I47" s="73">
        <f>SUM(I2:I46)</f>
        <v>-2391.8024057879925</v>
      </c>
      <c r="N47" s="35">
        <f>SUM(M27:N46)/23</f>
        <v>13.546521739130437</v>
      </c>
      <c r="U47" s="35">
        <f>SUM(U27:U46)/9</f>
        <v>13.562222222222223</v>
      </c>
      <c r="Y47" s="35">
        <f>SUM(Y27:Y46)/14</f>
        <v>13.662142857142859</v>
      </c>
      <c r="AC47" s="35">
        <f>SUM(AC27:AC46)/13</f>
        <v>13.737692307692308</v>
      </c>
      <c r="AG47" s="35">
        <f>SUM(AG27:AG46)/4</f>
        <v>13.715</v>
      </c>
      <c r="AJ47" s="35">
        <f>SUM(AJ27:AJ46)/4</f>
        <v>13.715</v>
      </c>
      <c r="AM47" s="35">
        <f>SUM(AM27:AM46)/4</f>
        <v>13.667499999999999</v>
      </c>
      <c r="AP47" s="35">
        <f>SUM(AP27:AP46)/14</f>
        <v>13.647857142857143</v>
      </c>
      <c r="AU47" s="35">
        <f>SUM(AU27:AU46)/4</f>
        <v>13.612499999999999</v>
      </c>
      <c r="BN47" s="35">
        <f>SUM(BN27:BN46)/9</f>
        <v>13.633333333333335</v>
      </c>
      <c r="BU47" s="35">
        <f>SUM(BU27:BU46)/14</f>
        <v>13.682142857142855</v>
      </c>
      <c r="CD47" s="35">
        <f>SUM(CD27:CD46)/6</f>
        <v>13.713333333333333</v>
      </c>
      <c r="CH47" s="35">
        <f>SUM(CH27:CH46)/9</f>
        <v>13.711111111111112</v>
      </c>
      <c r="CL47" s="35">
        <f>SUM(CL27:CL46)/10</f>
        <v>13.715</v>
      </c>
      <c r="CP47" s="35">
        <f>SUM(CP27:CP46)/10</f>
        <v>13.722999999999999</v>
      </c>
      <c r="CW47" s="35">
        <f>SUM(CW27:CW46)/12</f>
        <v>13.748333333333333</v>
      </c>
    </row>
    <row r="48" spans="1:101" x14ac:dyDescent="0.25">
      <c r="A48" s="72"/>
      <c r="B48" s="59"/>
      <c r="C48" s="71"/>
      <c r="D48" s="36"/>
      <c r="E48" s="24"/>
      <c r="F48" s="24"/>
      <c r="G48" s="24"/>
      <c r="H48" s="23"/>
      <c r="I48" s="25"/>
    </row>
    <row r="49" spans="1:23" hidden="1" x14ac:dyDescent="0.25">
      <c r="A49" s="72"/>
      <c r="B49" s="59"/>
      <c r="C49" s="71"/>
      <c r="D49" s="36"/>
      <c r="E49" s="24"/>
      <c r="F49" s="24"/>
      <c r="G49" s="24"/>
      <c r="H49" s="23"/>
      <c r="I49" s="25"/>
    </row>
    <row r="50" spans="1:23" ht="15.75" hidden="1" thickBot="1" x14ac:dyDescent="0.3">
      <c r="A50" s="72"/>
      <c r="B50" s="59"/>
      <c r="C50" s="71"/>
      <c r="D50" s="36"/>
      <c r="E50" s="24"/>
      <c r="F50" s="24"/>
      <c r="G50" s="24"/>
      <c r="H50" s="23"/>
      <c r="I50" s="25"/>
      <c r="L50" s="11" t="s">
        <v>17</v>
      </c>
    </row>
    <row r="51" spans="1:23" hidden="1" x14ac:dyDescent="0.25">
      <c r="A51" s="22" t="s">
        <v>71</v>
      </c>
      <c r="B51" s="23" t="s">
        <v>74</v>
      </c>
      <c r="C51" s="28"/>
      <c r="D51" s="36">
        <v>13.65</v>
      </c>
      <c r="E51" s="24">
        <f>D51-C51</f>
        <v>13.65</v>
      </c>
      <c r="F51" s="24">
        <f>N72</f>
        <v>13.688750000000001</v>
      </c>
      <c r="G51" s="24">
        <f>E51-F51</f>
        <v>-3.8750000000000284E-2</v>
      </c>
      <c r="H51" s="23">
        <v>203.98</v>
      </c>
      <c r="I51" s="25">
        <f t="shared" si="7"/>
        <v>-7.904225000000058</v>
      </c>
      <c r="L51" s="37" t="s">
        <v>74</v>
      </c>
      <c r="M51" s="38"/>
      <c r="N51" s="39"/>
      <c r="P51" s="37" t="s">
        <v>75</v>
      </c>
      <c r="Q51" s="39"/>
      <c r="S51" s="37" t="s">
        <v>76</v>
      </c>
      <c r="T51" s="39"/>
      <c r="V51" s="37" t="s">
        <v>77</v>
      </c>
      <c r="W51" s="39"/>
    </row>
    <row r="52" spans="1:23" hidden="1" x14ac:dyDescent="0.25">
      <c r="A52" s="22"/>
      <c r="B52" s="23" t="s">
        <v>74</v>
      </c>
      <c r="C52" s="28"/>
      <c r="D52" s="36">
        <f>(14.2+14.2+14.2+14.6+14.3)/5</f>
        <v>14.3</v>
      </c>
      <c r="E52" s="24">
        <f>D52-C52</f>
        <v>14.3</v>
      </c>
      <c r="F52" s="24">
        <f>D51</f>
        <v>13.65</v>
      </c>
      <c r="G52" s="24">
        <f>E52-F52</f>
        <v>0.65000000000000036</v>
      </c>
      <c r="H52" s="23">
        <f>(203.98+93.71)/2</f>
        <v>148.845</v>
      </c>
      <c r="I52" s="25">
        <f t="shared" si="7"/>
        <v>96.749250000000046</v>
      </c>
      <c r="L52" s="40"/>
      <c r="M52" s="41">
        <v>13.61</v>
      </c>
      <c r="N52" s="42">
        <v>13.47</v>
      </c>
      <c r="P52" s="40"/>
      <c r="Q52" s="42">
        <v>13.76</v>
      </c>
      <c r="S52" s="40"/>
      <c r="T52" s="42">
        <v>13.68</v>
      </c>
      <c r="V52" s="40"/>
      <c r="W52" s="42">
        <v>13.82</v>
      </c>
    </row>
    <row r="53" spans="1:23" hidden="1" x14ac:dyDescent="0.25">
      <c r="A53" s="22"/>
      <c r="B53" s="23" t="s">
        <v>74</v>
      </c>
      <c r="C53" s="28"/>
      <c r="D53" s="36">
        <v>14.8</v>
      </c>
      <c r="E53" s="24">
        <f>D53-C53</f>
        <v>14.8</v>
      </c>
      <c r="F53" s="36">
        <f>D52</f>
        <v>14.3</v>
      </c>
      <c r="G53" s="24">
        <f>E53-F53</f>
        <v>0.5</v>
      </c>
      <c r="H53" s="23">
        <f>(0.84+0.3)/2</f>
        <v>0.56999999999999995</v>
      </c>
      <c r="I53" s="25">
        <f t="shared" si="7"/>
        <v>0.28499999999999998</v>
      </c>
      <c r="L53" s="40"/>
      <c r="M53" s="41">
        <v>13.7</v>
      </c>
      <c r="N53" s="42">
        <v>13.92</v>
      </c>
      <c r="P53" s="40"/>
      <c r="Q53" s="42">
        <v>13.78</v>
      </c>
      <c r="S53" s="40"/>
      <c r="T53" s="42">
        <v>13.75</v>
      </c>
      <c r="V53" s="40"/>
      <c r="W53" s="42">
        <v>13.84</v>
      </c>
    </row>
    <row r="54" spans="1:23" hidden="1" x14ac:dyDescent="0.25">
      <c r="A54" s="22"/>
      <c r="B54" s="23" t="s">
        <v>74</v>
      </c>
      <c r="C54" s="28"/>
      <c r="D54" s="36">
        <v>15.3</v>
      </c>
      <c r="E54" s="24">
        <f>D54-C54</f>
        <v>15.3</v>
      </c>
      <c r="F54" s="24">
        <f>D53</f>
        <v>14.8</v>
      </c>
      <c r="G54" s="24">
        <f>E54-F54</f>
        <v>0.5</v>
      </c>
      <c r="H54" s="23">
        <f>(7.71+4.93+0.64)/3</f>
        <v>4.4266666666666667</v>
      </c>
      <c r="I54" s="25">
        <f t="shared" si="7"/>
        <v>2.2133333333333334</v>
      </c>
      <c r="L54" s="40"/>
      <c r="M54" s="41">
        <v>13.65</v>
      </c>
      <c r="N54" s="42">
        <v>13.89</v>
      </c>
      <c r="P54" s="40"/>
      <c r="Q54" s="42">
        <v>13.83</v>
      </c>
      <c r="S54" s="40"/>
      <c r="T54" s="42">
        <v>13.8</v>
      </c>
      <c r="V54" s="40"/>
      <c r="W54" s="42">
        <v>13.86</v>
      </c>
    </row>
    <row r="55" spans="1:23" hidden="1" x14ac:dyDescent="0.25">
      <c r="A55" s="22"/>
      <c r="B55" s="23"/>
      <c r="C55" s="28"/>
      <c r="D55" s="36"/>
      <c r="E55" s="24"/>
      <c r="F55" s="24"/>
      <c r="G55" s="24"/>
      <c r="H55" s="23"/>
      <c r="I55" s="25">
        <f t="shared" si="7"/>
        <v>0</v>
      </c>
      <c r="L55" s="40"/>
      <c r="M55" s="41">
        <v>13.43</v>
      </c>
      <c r="N55" s="42">
        <v>13.83</v>
      </c>
      <c r="P55" s="40"/>
      <c r="Q55" s="42">
        <v>13.85</v>
      </c>
      <c r="S55" s="40"/>
      <c r="T55" s="42">
        <v>13.78</v>
      </c>
      <c r="V55" s="40"/>
      <c r="W55" s="42">
        <v>13.85</v>
      </c>
    </row>
    <row r="56" spans="1:23" hidden="1" x14ac:dyDescent="0.25">
      <c r="A56" s="22"/>
      <c r="B56" s="23" t="s">
        <v>75</v>
      </c>
      <c r="C56" s="28"/>
      <c r="D56" s="36">
        <f>(13.8+13.72)/2</f>
        <v>13.760000000000002</v>
      </c>
      <c r="E56" s="24">
        <f>D56-C56</f>
        <v>13.760000000000002</v>
      </c>
      <c r="F56" s="24">
        <f>Q72</f>
        <v>13.76</v>
      </c>
      <c r="G56" s="24">
        <f>E56-F56</f>
        <v>0</v>
      </c>
      <c r="H56" s="23">
        <f>25.51</f>
        <v>25.51</v>
      </c>
      <c r="I56" s="25">
        <f t="shared" si="7"/>
        <v>0</v>
      </c>
      <c r="L56" s="40"/>
      <c r="M56" s="41">
        <v>13.77</v>
      </c>
      <c r="N56" s="42">
        <v>13.57</v>
      </c>
      <c r="P56" s="40"/>
      <c r="Q56" s="42">
        <v>13.68</v>
      </c>
      <c r="S56" s="40"/>
      <c r="T56" s="42">
        <v>13.74</v>
      </c>
      <c r="V56" s="40"/>
      <c r="W56" s="42">
        <v>13.86</v>
      </c>
    </row>
    <row r="57" spans="1:23" hidden="1" x14ac:dyDescent="0.25">
      <c r="A57" s="22"/>
      <c r="B57" s="23" t="s">
        <v>75</v>
      </c>
      <c r="C57" s="28"/>
      <c r="D57" s="36">
        <v>14.35</v>
      </c>
      <c r="E57" s="24">
        <f>D57-C57</f>
        <v>14.35</v>
      </c>
      <c r="F57" s="24">
        <f>D56</f>
        <v>13.760000000000002</v>
      </c>
      <c r="G57" s="24">
        <f>E57-F57</f>
        <v>0.58999999999999808</v>
      </c>
      <c r="H57" s="23">
        <f>25.51</f>
        <v>25.51</v>
      </c>
      <c r="I57" s="25">
        <f t="shared" ref="I57" si="10">H57*G57</f>
        <v>15.050899999999952</v>
      </c>
      <c r="L57" s="40"/>
      <c r="M57" s="41">
        <v>13.68</v>
      </c>
      <c r="N57" s="42">
        <v>13.42</v>
      </c>
      <c r="P57" s="40"/>
      <c r="Q57" s="42">
        <v>13.66</v>
      </c>
      <c r="S57" s="40"/>
      <c r="T57" s="42"/>
      <c r="V57" s="40"/>
      <c r="W57" s="42">
        <v>13.76</v>
      </c>
    </row>
    <row r="58" spans="1:23" hidden="1" x14ac:dyDescent="0.25">
      <c r="A58" s="22"/>
      <c r="B58" s="23" t="s">
        <v>75</v>
      </c>
      <c r="C58" s="28"/>
      <c r="D58" s="36">
        <v>15</v>
      </c>
      <c r="E58" s="24">
        <f>D58-C58</f>
        <v>15</v>
      </c>
      <c r="F58" s="24">
        <f>D57</f>
        <v>14.35</v>
      </c>
      <c r="G58" s="24">
        <f>E58-F58</f>
        <v>0.65000000000000036</v>
      </c>
      <c r="H58" s="23">
        <f>(3.64+2.33+0.84+0.3)/4</f>
        <v>1.7775000000000001</v>
      </c>
      <c r="I58" s="25">
        <f t="shared" si="7"/>
        <v>1.1553750000000007</v>
      </c>
      <c r="L58" s="40"/>
      <c r="M58" s="41">
        <v>13.75</v>
      </c>
      <c r="N58" s="42">
        <v>13.45</v>
      </c>
      <c r="P58" s="40"/>
      <c r="Q58" s="42"/>
      <c r="S58" s="40"/>
      <c r="T58" s="42"/>
      <c r="V58" s="40"/>
      <c r="W58" s="42">
        <v>13.78</v>
      </c>
    </row>
    <row r="59" spans="1:23" hidden="1" x14ac:dyDescent="0.25">
      <c r="A59" s="22"/>
      <c r="B59" s="23" t="s">
        <v>75</v>
      </c>
      <c r="C59" s="28"/>
      <c r="D59" s="36">
        <f>15</f>
        <v>15</v>
      </c>
      <c r="E59" s="24">
        <f>D59-C59</f>
        <v>15</v>
      </c>
      <c r="F59" s="24">
        <f>D57</f>
        <v>14.35</v>
      </c>
      <c r="G59" s="24">
        <f>E59-F59</f>
        <v>0.65000000000000036</v>
      </c>
      <c r="H59" s="23">
        <f>(7.82+3.57+0.84+0.3)/4</f>
        <v>3.1325000000000003</v>
      </c>
      <c r="I59" s="25">
        <f t="shared" si="7"/>
        <v>2.0361250000000015</v>
      </c>
      <c r="L59" s="40"/>
      <c r="M59" s="41">
        <v>13.76</v>
      </c>
      <c r="N59" s="42">
        <v>13.9</v>
      </c>
      <c r="P59" s="40"/>
      <c r="Q59" s="42"/>
      <c r="S59" s="40"/>
      <c r="T59" s="42"/>
      <c r="V59" s="40"/>
      <c r="W59" s="42">
        <v>13.41</v>
      </c>
    </row>
    <row r="60" spans="1:23" hidden="1" x14ac:dyDescent="0.25">
      <c r="A60" s="22"/>
      <c r="B60" s="23"/>
      <c r="C60" s="28"/>
      <c r="D60" s="36"/>
      <c r="E60" s="24"/>
      <c r="F60" s="24"/>
      <c r="G60" s="24"/>
      <c r="H60" s="23"/>
      <c r="I60" s="25">
        <f t="shared" si="7"/>
        <v>0</v>
      </c>
      <c r="L60" s="40"/>
      <c r="M60" s="41">
        <v>13.73</v>
      </c>
      <c r="N60" s="42">
        <v>13.87</v>
      </c>
      <c r="P60" s="40"/>
      <c r="Q60" s="42"/>
      <c r="S60" s="40"/>
      <c r="T60" s="42"/>
      <c r="V60" s="40"/>
      <c r="W60" s="42">
        <v>13.42</v>
      </c>
    </row>
    <row r="61" spans="1:23" hidden="1" x14ac:dyDescent="0.25">
      <c r="A61" s="22"/>
      <c r="B61" s="23" t="s">
        <v>76</v>
      </c>
      <c r="C61" s="28"/>
      <c r="D61" s="36">
        <f>(13.8+13.72)/2</f>
        <v>13.760000000000002</v>
      </c>
      <c r="E61" s="24">
        <f>D61-C61</f>
        <v>13.760000000000002</v>
      </c>
      <c r="F61" s="24">
        <f>T72</f>
        <v>13.75</v>
      </c>
      <c r="G61" s="24">
        <f>E61-F61</f>
        <v>1.0000000000001563E-2</v>
      </c>
      <c r="H61" s="23">
        <v>26.64</v>
      </c>
      <c r="I61" s="25">
        <f t="shared" si="7"/>
        <v>0.26640000000004166</v>
      </c>
      <c r="L61" s="40"/>
      <c r="M61" s="41">
        <v>13.75</v>
      </c>
      <c r="N61" s="42">
        <v>13.49</v>
      </c>
      <c r="P61" s="40"/>
      <c r="Q61" s="42"/>
      <c r="S61" s="40"/>
      <c r="T61" s="42"/>
      <c r="V61" s="40"/>
      <c r="W61" s="42"/>
    </row>
    <row r="62" spans="1:23" hidden="1" x14ac:dyDescent="0.25">
      <c r="A62" s="22"/>
      <c r="B62" s="23" t="s">
        <v>76</v>
      </c>
      <c r="C62" s="28"/>
      <c r="D62" s="36">
        <v>14.35</v>
      </c>
      <c r="E62" s="24">
        <f>D62-C62</f>
        <v>14.35</v>
      </c>
      <c r="F62" s="24">
        <f>D61</f>
        <v>13.760000000000002</v>
      </c>
      <c r="G62" s="24">
        <f>E62-F62</f>
        <v>0.58999999999999808</v>
      </c>
      <c r="H62" s="23">
        <v>26.64</v>
      </c>
      <c r="I62" s="25">
        <f t="shared" si="7"/>
        <v>15.717599999999949</v>
      </c>
      <c r="L62" s="40"/>
      <c r="M62" s="41">
        <v>13.75</v>
      </c>
      <c r="N62" s="42">
        <v>13.41</v>
      </c>
      <c r="P62" s="40"/>
      <c r="Q62" s="42"/>
      <c r="S62" s="40"/>
      <c r="T62" s="42"/>
      <c r="V62" s="40"/>
      <c r="W62" s="42"/>
    </row>
    <row r="63" spans="1:23" hidden="1" x14ac:dyDescent="0.25">
      <c r="A63" s="22"/>
      <c r="B63" s="23" t="s">
        <v>76</v>
      </c>
      <c r="C63" s="28"/>
      <c r="D63" s="36">
        <v>15</v>
      </c>
      <c r="E63" s="24">
        <f>D63-C63</f>
        <v>15</v>
      </c>
      <c r="F63" s="24">
        <f>D62</f>
        <v>14.35</v>
      </c>
      <c r="G63" s="24">
        <f>E63-F63</f>
        <v>0.65000000000000036</v>
      </c>
      <c r="H63" s="23">
        <f>(3.64+0.84+0.3)/3</f>
        <v>1.5933333333333335</v>
      </c>
      <c r="I63" s="25">
        <f t="shared" si="7"/>
        <v>1.0356666666666674</v>
      </c>
      <c r="L63" s="40"/>
      <c r="M63" s="41">
        <v>13.66</v>
      </c>
      <c r="N63" s="42">
        <v>13.44</v>
      </c>
      <c r="P63" s="40"/>
      <c r="Q63" s="42"/>
      <c r="S63" s="40"/>
      <c r="T63" s="42"/>
      <c r="V63" s="40"/>
      <c r="W63" s="42"/>
    </row>
    <row r="64" spans="1:23" hidden="1" x14ac:dyDescent="0.25">
      <c r="A64" s="22"/>
      <c r="B64" s="23" t="s">
        <v>76</v>
      </c>
      <c r="C64" s="28"/>
      <c r="D64" s="36">
        <v>15</v>
      </c>
      <c r="E64" s="24">
        <f>D64-C64</f>
        <v>15</v>
      </c>
      <c r="F64" s="24">
        <f>D62</f>
        <v>14.35</v>
      </c>
      <c r="G64" s="24">
        <f>E64-F64</f>
        <v>0.65000000000000036</v>
      </c>
      <c r="H64" s="23">
        <f>(7.82+3.57+0.3)/3</f>
        <v>3.8966666666666669</v>
      </c>
      <c r="I64" s="25">
        <f t="shared" si="7"/>
        <v>2.5328333333333348</v>
      </c>
      <c r="L64" s="40"/>
      <c r="M64" s="41">
        <v>13.8</v>
      </c>
      <c r="N64" s="42"/>
      <c r="P64" s="40"/>
      <c r="Q64" s="42"/>
      <c r="S64" s="40"/>
      <c r="T64" s="42"/>
      <c r="V64" s="40"/>
      <c r="W64" s="42"/>
    </row>
    <row r="65" spans="1:23" hidden="1" x14ac:dyDescent="0.25">
      <c r="A65" s="22"/>
      <c r="B65" s="23"/>
      <c r="C65" s="28"/>
      <c r="D65" s="36"/>
      <c r="E65" s="24"/>
      <c r="F65" s="24"/>
      <c r="G65" s="24"/>
      <c r="H65" s="23"/>
      <c r="I65" s="25">
        <f t="shared" si="7"/>
        <v>0</v>
      </c>
      <c r="L65" s="40"/>
      <c r="M65" s="41">
        <v>13.79</v>
      </c>
      <c r="N65" s="42"/>
      <c r="P65" s="40"/>
      <c r="Q65" s="42"/>
      <c r="S65" s="40"/>
      <c r="T65" s="42"/>
      <c r="V65" s="40"/>
      <c r="W65" s="42"/>
    </row>
    <row r="66" spans="1:23" hidden="1" x14ac:dyDescent="0.25">
      <c r="A66" s="22"/>
      <c r="B66" s="23" t="s">
        <v>77</v>
      </c>
      <c r="C66" s="28"/>
      <c r="D66" s="36">
        <v>13.6</v>
      </c>
      <c r="E66" s="24">
        <f>D66-C66</f>
        <v>13.6</v>
      </c>
      <c r="F66" s="24">
        <f>W72</f>
        <v>13.733333333333333</v>
      </c>
      <c r="G66" s="24">
        <f>E66-F66</f>
        <v>-0.13333333333333286</v>
      </c>
      <c r="H66" s="23">
        <v>49.28</v>
      </c>
      <c r="I66" s="25">
        <f t="shared" si="7"/>
        <v>-6.5706666666666438</v>
      </c>
      <c r="L66" s="40"/>
      <c r="M66" s="41">
        <v>13.76</v>
      </c>
      <c r="N66" s="42"/>
      <c r="P66" s="40"/>
      <c r="Q66" s="42"/>
      <c r="S66" s="40"/>
      <c r="T66" s="42"/>
      <c r="V66" s="40"/>
      <c r="W66" s="42"/>
    </row>
    <row r="67" spans="1:23" hidden="1" x14ac:dyDescent="0.25">
      <c r="A67" s="22"/>
      <c r="B67" s="23" t="s">
        <v>77</v>
      </c>
      <c r="C67" s="28"/>
      <c r="D67" s="36">
        <v>14.2</v>
      </c>
      <c r="E67" s="24">
        <f>D67-C67</f>
        <v>14.2</v>
      </c>
      <c r="F67" s="24">
        <f>D66</f>
        <v>13.6</v>
      </c>
      <c r="G67" s="24">
        <f>E67-F67</f>
        <v>0.59999999999999964</v>
      </c>
      <c r="H67" s="59">
        <f>(49.28+4.29+4.44+7.82)/4</f>
        <v>16.4575</v>
      </c>
      <c r="I67" s="25">
        <f t="shared" si="7"/>
        <v>9.8744999999999941</v>
      </c>
      <c r="L67" s="40"/>
      <c r="M67" s="41">
        <v>13.66</v>
      </c>
      <c r="N67" s="42"/>
      <c r="P67" s="40"/>
      <c r="Q67" s="42"/>
      <c r="S67" s="40"/>
      <c r="T67" s="42"/>
      <c r="V67" s="40"/>
      <c r="W67" s="42"/>
    </row>
    <row r="68" spans="1:23" hidden="1" x14ac:dyDescent="0.25">
      <c r="A68" s="22"/>
      <c r="B68" s="23" t="s">
        <v>77</v>
      </c>
      <c r="C68" s="28"/>
      <c r="D68" s="36">
        <v>14.8</v>
      </c>
      <c r="E68" s="24">
        <f>D68-C68</f>
        <v>14.8</v>
      </c>
      <c r="F68" s="24">
        <f>D67</f>
        <v>14.2</v>
      </c>
      <c r="G68" s="24">
        <f>E68-F68</f>
        <v>0.60000000000000142</v>
      </c>
      <c r="H68" s="23">
        <f>(4.29+1.66+0.07+0.07)/4</f>
        <v>1.5225000000000002</v>
      </c>
      <c r="I68" s="25">
        <f t="shared" si="7"/>
        <v>0.91350000000000231</v>
      </c>
      <c r="L68" s="40"/>
      <c r="M68" s="41">
        <v>13.86</v>
      </c>
      <c r="N68" s="42"/>
      <c r="P68" s="40"/>
      <c r="Q68" s="42"/>
      <c r="S68" s="40"/>
      <c r="T68" s="42"/>
      <c r="V68" s="40"/>
      <c r="W68" s="42"/>
    </row>
    <row r="69" spans="1:23" hidden="1" x14ac:dyDescent="0.25">
      <c r="A69" s="22"/>
      <c r="B69" s="23" t="s">
        <v>77</v>
      </c>
      <c r="C69" s="28"/>
      <c r="D69" s="36">
        <v>14.8</v>
      </c>
      <c r="E69" s="24">
        <f>D69-C69</f>
        <v>14.8</v>
      </c>
      <c r="F69" s="24">
        <f>D67</f>
        <v>14.2</v>
      </c>
      <c r="G69" s="24">
        <f>E69-F69</f>
        <v>0.60000000000000142</v>
      </c>
      <c r="H69" s="23">
        <f>(4.44+0.69+0.21)/3</f>
        <v>1.7800000000000002</v>
      </c>
      <c r="I69" s="25">
        <f t="shared" si="7"/>
        <v>1.0680000000000027</v>
      </c>
      <c r="L69" s="40"/>
      <c r="M69" s="41">
        <v>13.84</v>
      </c>
      <c r="N69" s="42"/>
      <c r="P69" s="40"/>
      <c r="Q69" s="42"/>
      <c r="S69" s="40"/>
      <c r="T69" s="42"/>
      <c r="V69" s="40"/>
      <c r="W69" s="42"/>
    </row>
    <row r="70" spans="1:23" hidden="1" x14ac:dyDescent="0.25">
      <c r="A70" s="22"/>
      <c r="B70" s="23" t="s">
        <v>77</v>
      </c>
      <c r="C70" s="28"/>
      <c r="D70" s="36">
        <v>14.8</v>
      </c>
      <c r="E70" s="24">
        <f>D70-C70</f>
        <v>14.8</v>
      </c>
      <c r="F70" s="24">
        <f>D67</f>
        <v>14.2</v>
      </c>
      <c r="G70" s="24">
        <f>E70-F70</f>
        <v>0.60000000000000142</v>
      </c>
      <c r="H70" s="23">
        <f>(7.82+3.57+0.3)/3</f>
        <v>3.8966666666666669</v>
      </c>
      <c r="I70" s="25">
        <f t="shared" si="7"/>
        <v>2.3380000000000059</v>
      </c>
      <c r="L70" s="40"/>
      <c r="M70" s="41">
        <v>13.78</v>
      </c>
      <c r="N70" s="42"/>
      <c r="P70" s="40"/>
      <c r="Q70" s="42"/>
      <c r="S70" s="40"/>
      <c r="T70" s="42"/>
      <c r="V70" s="40"/>
      <c r="W70" s="42"/>
    </row>
    <row r="71" spans="1:23" ht="15.75" hidden="1" thickBot="1" x14ac:dyDescent="0.3">
      <c r="A71" s="22"/>
      <c r="B71" s="23"/>
      <c r="C71" s="28"/>
      <c r="D71" s="36"/>
      <c r="E71" s="24"/>
      <c r="F71" s="24"/>
      <c r="G71" s="24"/>
      <c r="H71" s="23"/>
      <c r="I71" s="25">
        <f t="shared" si="7"/>
        <v>0</v>
      </c>
      <c r="L71" s="43"/>
      <c r="M71" s="44">
        <v>13.65</v>
      </c>
      <c r="N71" s="45"/>
      <c r="P71" s="43"/>
      <c r="Q71" s="45"/>
      <c r="S71" s="43"/>
      <c r="T71" s="45"/>
      <c r="V71" s="43"/>
      <c r="W71" s="45"/>
    </row>
    <row r="72" spans="1:23" hidden="1" x14ac:dyDescent="0.25">
      <c r="A72" s="22"/>
      <c r="B72" s="23"/>
      <c r="C72" s="28"/>
      <c r="D72" s="36"/>
      <c r="E72" s="24"/>
      <c r="F72" s="24"/>
      <c r="G72" s="24"/>
      <c r="H72" s="23"/>
      <c r="I72" s="25">
        <f t="shared" ref="I72:I88" si="11">H72*G72</f>
        <v>0</v>
      </c>
      <c r="N72" s="35">
        <f>SUM(M52:N71)/32</f>
        <v>13.688750000000001</v>
      </c>
      <c r="Q72" s="35">
        <f>SUM(Q52:Q71)/6</f>
        <v>13.76</v>
      </c>
      <c r="T72" s="35">
        <f>SUM(T52:T71)/5</f>
        <v>13.75</v>
      </c>
      <c r="W72" s="35">
        <f>SUM(W52:W71)/9</f>
        <v>13.733333333333333</v>
      </c>
    </row>
    <row r="73" spans="1:23" hidden="1" x14ac:dyDescent="0.25">
      <c r="A73" s="22"/>
      <c r="B73" s="23"/>
      <c r="C73" s="28"/>
      <c r="D73" s="36"/>
      <c r="E73" s="24"/>
      <c r="F73" s="24"/>
      <c r="G73" s="24"/>
      <c r="H73" s="23"/>
      <c r="I73" s="25">
        <f t="shared" si="11"/>
        <v>0</v>
      </c>
    </row>
    <row r="74" spans="1:23" hidden="1" x14ac:dyDescent="0.25">
      <c r="A74" s="22"/>
      <c r="B74" s="23"/>
      <c r="C74" s="28"/>
      <c r="D74" s="36"/>
      <c r="E74" s="24"/>
      <c r="F74" s="24"/>
      <c r="G74" s="24"/>
      <c r="H74" s="23"/>
      <c r="I74" s="25">
        <f t="shared" si="11"/>
        <v>0</v>
      </c>
    </row>
    <row r="75" spans="1:23" hidden="1" x14ac:dyDescent="0.25">
      <c r="A75" s="22"/>
      <c r="B75" s="23"/>
      <c r="C75" s="28"/>
      <c r="D75" s="36"/>
      <c r="E75" s="24"/>
      <c r="F75" s="24"/>
      <c r="G75" s="24"/>
      <c r="H75" s="23"/>
      <c r="I75" s="25">
        <f t="shared" si="11"/>
        <v>0</v>
      </c>
    </row>
    <row r="76" spans="1:23" hidden="1" x14ac:dyDescent="0.25">
      <c r="A76" s="22"/>
      <c r="B76" s="23"/>
      <c r="C76" s="28"/>
      <c r="D76" s="36"/>
      <c r="E76" s="24"/>
      <c r="F76" s="24"/>
      <c r="G76" s="24"/>
      <c r="H76" s="23"/>
      <c r="I76" s="25">
        <f t="shared" si="11"/>
        <v>0</v>
      </c>
    </row>
    <row r="77" spans="1:23" hidden="1" x14ac:dyDescent="0.25">
      <c r="A77" s="22"/>
      <c r="B77" s="23"/>
      <c r="C77" s="28"/>
      <c r="D77" s="36"/>
      <c r="E77" s="24"/>
      <c r="F77" s="24"/>
      <c r="G77" s="24"/>
      <c r="H77" s="23"/>
      <c r="I77" s="25">
        <f t="shared" si="11"/>
        <v>0</v>
      </c>
    </row>
    <row r="78" spans="1:23" hidden="1" x14ac:dyDescent="0.25">
      <c r="A78" s="22"/>
      <c r="B78" s="23"/>
      <c r="C78" s="28"/>
      <c r="D78" s="36"/>
      <c r="E78" s="24"/>
      <c r="F78" s="24"/>
      <c r="G78" s="24"/>
      <c r="H78" s="23"/>
      <c r="I78" s="25">
        <f t="shared" si="11"/>
        <v>0</v>
      </c>
    </row>
    <row r="79" spans="1:23" hidden="1" x14ac:dyDescent="0.25">
      <c r="A79" s="22"/>
      <c r="B79" s="23"/>
      <c r="C79" s="28"/>
      <c r="D79" s="36"/>
      <c r="E79" s="24"/>
      <c r="F79" s="24"/>
      <c r="G79" s="24"/>
      <c r="H79" s="23"/>
      <c r="I79" s="25">
        <f t="shared" si="11"/>
        <v>0</v>
      </c>
    </row>
    <row r="80" spans="1:23" hidden="1" x14ac:dyDescent="0.25">
      <c r="A80" s="22"/>
      <c r="B80" s="23"/>
      <c r="C80" s="28"/>
      <c r="D80" s="36"/>
      <c r="E80" s="24"/>
      <c r="F80" s="24"/>
      <c r="G80" s="24"/>
      <c r="H80" s="23"/>
      <c r="I80" s="25">
        <f t="shared" si="11"/>
        <v>0</v>
      </c>
    </row>
    <row r="81" spans="1:9" hidden="1" x14ac:dyDescent="0.25">
      <c r="A81" s="22"/>
      <c r="B81" s="23"/>
      <c r="C81" s="28"/>
      <c r="D81" s="36"/>
      <c r="E81" s="24"/>
      <c r="F81" s="24"/>
      <c r="G81" s="24"/>
      <c r="H81" s="23"/>
      <c r="I81" s="25">
        <f t="shared" si="11"/>
        <v>0</v>
      </c>
    </row>
    <row r="82" spans="1:9" hidden="1" x14ac:dyDescent="0.25">
      <c r="A82" s="22"/>
      <c r="B82" s="23"/>
      <c r="C82" s="28"/>
      <c r="D82" s="36"/>
      <c r="E82" s="24"/>
      <c r="F82" s="24"/>
      <c r="G82" s="24"/>
      <c r="H82" s="23"/>
      <c r="I82" s="25">
        <f t="shared" si="11"/>
        <v>0</v>
      </c>
    </row>
    <row r="83" spans="1:9" hidden="1" x14ac:dyDescent="0.25">
      <c r="A83" s="22"/>
      <c r="B83" s="23"/>
      <c r="C83" s="28"/>
      <c r="D83" s="36"/>
      <c r="E83" s="24"/>
      <c r="F83" s="24"/>
      <c r="G83" s="24"/>
      <c r="H83" s="23"/>
      <c r="I83" s="25">
        <f t="shared" si="11"/>
        <v>0</v>
      </c>
    </row>
    <row r="84" spans="1:9" hidden="1" x14ac:dyDescent="0.25">
      <c r="A84" s="22"/>
      <c r="B84" s="23"/>
      <c r="C84" s="28"/>
      <c r="D84" s="36"/>
      <c r="E84" s="24"/>
      <c r="F84" s="24"/>
      <c r="G84" s="24"/>
      <c r="H84" s="23"/>
      <c r="I84" s="25">
        <f t="shared" si="11"/>
        <v>0</v>
      </c>
    </row>
    <row r="85" spans="1:9" hidden="1" x14ac:dyDescent="0.25">
      <c r="A85" s="22"/>
      <c r="B85" s="23"/>
      <c r="C85" s="28"/>
      <c r="D85" s="36"/>
      <c r="E85" s="24"/>
      <c r="F85" s="24"/>
      <c r="G85" s="24"/>
      <c r="H85" s="23"/>
      <c r="I85" s="25">
        <f t="shared" si="11"/>
        <v>0</v>
      </c>
    </row>
    <row r="86" spans="1:9" hidden="1" x14ac:dyDescent="0.25">
      <c r="A86" s="22"/>
      <c r="B86" s="23"/>
      <c r="C86" s="28"/>
      <c r="D86" s="36"/>
      <c r="E86" s="24"/>
      <c r="F86" s="24"/>
      <c r="G86" s="24"/>
      <c r="H86" s="23"/>
      <c r="I86" s="25">
        <f t="shared" si="11"/>
        <v>0</v>
      </c>
    </row>
    <row r="87" spans="1:9" hidden="1" x14ac:dyDescent="0.25">
      <c r="A87" s="22"/>
      <c r="B87" s="23"/>
      <c r="C87" s="29"/>
      <c r="D87" s="36"/>
      <c r="E87" s="24"/>
      <c r="F87" s="24"/>
      <c r="G87" s="24"/>
      <c r="H87" s="23"/>
      <c r="I87" s="25">
        <f t="shared" si="11"/>
        <v>0</v>
      </c>
    </row>
    <row r="88" spans="1:9" hidden="1" x14ac:dyDescent="0.25">
      <c r="A88" s="22"/>
      <c r="B88" s="23"/>
      <c r="C88" s="29"/>
      <c r="D88" s="36"/>
      <c r="E88" s="24"/>
      <c r="F88" s="24"/>
      <c r="G88" s="24"/>
      <c r="H88" s="23"/>
      <c r="I88" s="25">
        <f t="shared" si="11"/>
        <v>0</v>
      </c>
    </row>
    <row r="89" spans="1:9" ht="18.75" x14ac:dyDescent="0.3">
      <c r="I89" s="48"/>
    </row>
    <row r="92" spans="1:9" x14ac:dyDescent="0.25">
      <c r="I92" s="47"/>
    </row>
    <row r="93" spans="1:9" x14ac:dyDescent="0.25">
      <c r="I93" s="47"/>
    </row>
  </sheetData>
  <pageMargins left="0.7" right="0.7" top="0.75" bottom="0.75" header="0.3" footer="0.3"/>
  <pageSetup paperSize="9" scale="10"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1</vt:i4>
      </vt:variant>
    </vt:vector>
  </HeadingPairs>
  <TitlesOfParts>
    <vt:vector size="5" baseType="lpstr">
      <vt:lpstr>корп 8</vt:lpstr>
      <vt:lpstr>бл-во</vt:lpstr>
      <vt:lpstr>планировка уч. 17</vt:lpstr>
      <vt:lpstr>планировка уч. 18</vt:lpstr>
      <vt:lpstr>'корп 8'!Область_печати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2024-12-04T09:16:50Z</dcterms:modified>
</cp:coreProperties>
</file>