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30720" windowHeight="10680"/>
  </bookViews>
  <sheets>
    <sheet name="Расчет Парашютная " sheetId="3" r:id="rId1"/>
    <sheet name="Лист2" sheetId="10" state="hidden" r:id="rId2"/>
    <sheet name="не актуал. покрытия " sheetId="1" state="hidden" r:id="rId3"/>
    <sheet name="земляные работы " sheetId="2" state="hidden" r:id="rId4"/>
  </sheets>
  <definedNames>
    <definedName name="_xlnm._FilterDatabase" localSheetId="0" hidden="1">'Расчет Парашютная '!$A$17:$N$205</definedName>
    <definedName name="Excel_BuiltIn_Print_Area_2" localSheetId="0">#REF!</definedName>
    <definedName name="Excel_BuiltIn_Print_Area_2">#REF!</definedName>
    <definedName name="_xlnm.Print_Area" localSheetId="0">'Расчет Парашютная '!$A$1:$N$236</definedName>
  </definedName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94" i="3" l="1"/>
  <c r="M194" i="3" l="1"/>
  <c r="L194" i="3"/>
  <c r="K194" i="3"/>
  <c r="M199" i="3"/>
  <c r="L199" i="3"/>
  <c r="K199" i="3"/>
  <c r="J202" i="3" l="1"/>
  <c r="K15" i="3"/>
  <c r="K27" i="3"/>
  <c r="L33" i="3"/>
  <c r="G84" i="3"/>
  <c r="L84" i="3" s="1"/>
  <c r="L83" i="3" s="1"/>
  <c r="J101" i="3"/>
  <c r="K105" i="3"/>
  <c r="L105" i="3"/>
  <c r="J105" i="3"/>
  <c r="M105" i="3" l="1"/>
  <c r="L103" i="3"/>
  <c r="K119" i="3"/>
  <c r="L136" i="3"/>
  <c r="L135" i="3" s="1"/>
  <c r="L139" i="3"/>
  <c r="M139" i="3" s="1"/>
  <c r="K139" i="3"/>
  <c r="J139" i="3"/>
  <c r="J168" i="3"/>
  <c r="L185" i="3"/>
  <c r="L187" i="3"/>
  <c r="L189" i="3"/>
  <c r="L191" i="3"/>
  <c r="L198" i="3"/>
  <c r="K198" i="3"/>
  <c r="J198" i="3"/>
  <c r="L196" i="3"/>
  <c r="L204" i="3"/>
  <c r="K204" i="3"/>
  <c r="J204" i="3"/>
  <c r="M198" i="3" l="1"/>
  <c r="M204" i="3"/>
  <c r="L184" i="3"/>
  <c r="G176" i="3"/>
  <c r="L176" i="3" s="1"/>
  <c r="G169" i="3"/>
  <c r="G168" i="3"/>
  <c r="G165" i="3"/>
  <c r="G166" i="3" s="1"/>
  <c r="H165" i="3" s="1"/>
  <c r="J165" i="3" s="1"/>
  <c r="G163" i="3"/>
  <c r="G164" i="3" s="1"/>
  <c r="H163" i="3" s="1"/>
  <c r="J163" i="3" s="1"/>
  <c r="G161" i="3"/>
  <c r="G162" i="3" s="1"/>
  <c r="H161" i="3" s="1"/>
  <c r="J161" i="3" s="1"/>
  <c r="G159" i="3"/>
  <c r="G160" i="3" s="1"/>
  <c r="H159" i="3" s="1"/>
  <c r="J159" i="3" s="1"/>
  <c r="G157" i="3"/>
  <c r="G153" i="3"/>
  <c r="L153" i="3" s="1"/>
  <c r="G194" i="3"/>
  <c r="G200" i="3"/>
  <c r="H199" i="3" s="1"/>
  <c r="G199" i="3"/>
  <c r="G146" i="3"/>
  <c r="G144" i="3"/>
  <c r="G133" i="3"/>
  <c r="G129" i="3"/>
  <c r="G127" i="3"/>
  <c r="F124" i="3"/>
  <c r="G123" i="3"/>
  <c r="L123" i="3" s="1"/>
  <c r="L138" i="3"/>
  <c r="K138" i="3"/>
  <c r="G79" i="3"/>
  <c r="G80" i="3" s="1"/>
  <c r="H79" i="3" s="1"/>
  <c r="J79" i="3" s="1"/>
  <c r="G72" i="3"/>
  <c r="L72" i="3" s="1"/>
  <c r="G73" i="3"/>
  <c r="H72" i="3" s="1"/>
  <c r="G70" i="3"/>
  <c r="G68" i="3"/>
  <c r="G64" i="3"/>
  <c r="L64" i="3" s="1"/>
  <c r="F65" i="3"/>
  <c r="G87" i="3"/>
  <c r="G88" i="3"/>
  <c r="H87" i="3" s="1"/>
  <c r="J87" i="3" s="1"/>
  <c r="F85" i="3"/>
  <c r="G85" i="3" s="1"/>
  <c r="H84" i="3" s="1"/>
  <c r="G124" i="3" l="1"/>
  <c r="H123" i="3" s="1"/>
  <c r="G65" i="3"/>
  <c r="H64" i="3" s="1"/>
  <c r="K64" i="3" s="1"/>
  <c r="G177" i="3"/>
  <c r="H176" i="3" s="1"/>
  <c r="L168" i="3"/>
  <c r="K168" i="3"/>
  <c r="M168" i="3" s="1"/>
  <c r="K84" i="3"/>
  <c r="J84" i="3"/>
  <c r="M64" i="3"/>
  <c r="G69" i="3"/>
  <c r="H68" i="3" s="1"/>
  <c r="J68" i="3" s="1"/>
  <c r="L68" i="3"/>
  <c r="G71" i="3"/>
  <c r="H70" i="3" s="1"/>
  <c r="J70" i="3" s="1"/>
  <c r="L70" i="3"/>
  <c r="K72" i="3"/>
  <c r="M72" i="3" s="1"/>
  <c r="J72" i="3"/>
  <c r="K123" i="3"/>
  <c r="J123" i="3"/>
  <c r="G130" i="3"/>
  <c r="H129" i="3" s="1"/>
  <c r="J129" i="3" s="1"/>
  <c r="L129" i="3"/>
  <c r="K129" i="3"/>
  <c r="G128" i="3"/>
  <c r="H127" i="3" s="1"/>
  <c r="J127" i="3" s="1"/>
  <c r="L127" i="3"/>
  <c r="K127" i="3"/>
  <c r="G134" i="3"/>
  <c r="H133" i="3" s="1"/>
  <c r="J133" i="3" s="1"/>
  <c r="L133" i="3"/>
  <c r="M138" i="3"/>
  <c r="G170" i="3"/>
  <c r="H169" i="3" s="1"/>
  <c r="J169" i="3" s="1"/>
  <c r="L169" i="3"/>
  <c r="K176" i="3"/>
  <c r="J176" i="3"/>
  <c r="J199" i="3"/>
  <c r="G56" i="3"/>
  <c r="G57" i="3" s="1"/>
  <c r="G54" i="3"/>
  <c r="G55" i="3" s="1"/>
  <c r="H54" i="3" s="1"/>
  <c r="F53" i="3"/>
  <c r="G52" i="3"/>
  <c r="G50" i="3"/>
  <c r="L50" i="3" s="1"/>
  <c r="G39" i="3"/>
  <c r="G37" i="3"/>
  <c r="F36" i="3"/>
  <c r="G34" i="3"/>
  <c r="H33" i="3" s="1"/>
  <c r="F32" i="3"/>
  <c r="G32" i="3" s="1"/>
  <c r="H31" i="3" s="1"/>
  <c r="G31" i="3"/>
  <c r="L31" i="3" s="1"/>
  <c r="G104" i="3"/>
  <c r="H103" i="3" s="1"/>
  <c r="G101" i="3"/>
  <c r="L29" i="3"/>
  <c r="M29" i="3" s="1"/>
  <c r="L28" i="3"/>
  <c r="J28" i="3"/>
  <c r="G26" i="3"/>
  <c r="G23" i="3"/>
  <c r="G20" i="3"/>
  <c r="G53" i="3" l="1"/>
  <c r="H52" i="3" s="1"/>
  <c r="J52" i="3" s="1"/>
  <c r="K169" i="3"/>
  <c r="K70" i="3"/>
  <c r="M70" i="3" s="1"/>
  <c r="L101" i="3"/>
  <c r="K101" i="3"/>
  <c r="K100" i="3" s="1"/>
  <c r="K133" i="3"/>
  <c r="M133" i="3" s="1"/>
  <c r="K68" i="3"/>
  <c r="M68" i="3" s="1"/>
  <c r="K83" i="3"/>
  <c r="M83" i="3" s="1"/>
  <c r="M84" i="3"/>
  <c r="J103" i="3"/>
  <c r="K103" i="3"/>
  <c r="G40" i="3"/>
  <c r="H39" i="3" s="1"/>
  <c r="J39" i="3" s="1"/>
  <c r="L39" i="3"/>
  <c r="L37" i="3"/>
  <c r="K33" i="3"/>
  <c r="M33" i="3" s="1"/>
  <c r="J33" i="3"/>
  <c r="J31" i="3"/>
  <c r="K31" i="3"/>
  <c r="M28" i="3"/>
  <c r="L27" i="3"/>
  <c r="M27" i="3" s="1"/>
  <c r="M129" i="3"/>
  <c r="M127" i="3"/>
  <c r="M123" i="3"/>
  <c r="M169" i="3"/>
  <c r="M176" i="3"/>
  <c r="G58" i="3"/>
  <c r="H56" i="3" s="1"/>
  <c r="G38" i="3"/>
  <c r="H37" i="3" s="1"/>
  <c r="J37" i="3" s="1"/>
  <c r="L100" i="3" l="1"/>
  <c r="M100" i="3" s="1"/>
  <c r="M101" i="3"/>
  <c r="M103" i="3"/>
  <c r="M31" i="3"/>
  <c r="K39" i="3"/>
  <c r="K37" i="3"/>
  <c r="M37" i="3" s="1"/>
  <c r="M39" i="3"/>
  <c r="L16" i="3"/>
  <c r="L15" i="3" s="1"/>
  <c r="M15" i="3" s="1"/>
  <c r="J16" i="3"/>
  <c r="M16" i="3" l="1"/>
  <c r="G151" i="3"/>
  <c r="G121" i="3"/>
  <c r="L121" i="3" s="1"/>
  <c r="M121" i="3" s="1"/>
  <c r="D63" i="3" l="1"/>
  <c r="D45" i="3"/>
  <c r="G81" i="3"/>
  <c r="G82" i="3" s="1"/>
  <c r="H81" i="3" s="1"/>
  <c r="J81" i="3" s="1"/>
  <c r="G75" i="3"/>
  <c r="G76" i="3" s="1"/>
  <c r="H75" i="3" s="1"/>
  <c r="J75" i="3" s="1"/>
  <c r="G173" i="3"/>
  <c r="G171" i="3"/>
  <c r="K149" i="3"/>
  <c r="G174" i="3" l="1"/>
  <c r="H173" i="3" s="1"/>
  <c r="L173" i="3"/>
  <c r="G172" i="3"/>
  <c r="H171" i="3" s="1"/>
  <c r="J171" i="3" s="1"/>
  <c r="L171" i="3"/>
  <c r="J173" i="3"/>
  <c r="K173" i="3"/>
  <c r="M173" i="3" s="1"/>
  <c r="G150" i="3"/>
  <c r="D168" i="3"/>
  <c r="D167" i="3" s="1"/>
  <c r="K171" i="3" l="1"/>
  <c r="M171" i="3" s="1"/>
  <c r="L167" i="3"/>
  <c r="G182" i="3"/>
  <c r="G180" i="3"/>
  <c r="G178" i="3"/>
  <c r="D152" i="3"/>
  <c r="K167" i="3" l="1"/>
  <c r="G179" i="3"/>
  <c r="H178" i="3" s="1"/>
  <c r="L178" i="3"/>
  <c r="M167" i="3"/>
  <c r="J178" i="3"/>
  <c r="K178" i="3"/>
  <c r="G181" i="3"/>
  <c r="H180" i="3" s="1"/>
  <c r="J180" i="3" s="1"/>
  <c r="L180" i="3"/>
  <c r="G183" i="3"/>
  <c r="H182" i="3" s="1"/>
  <c r="J182" i="3" s="1"/>
  <c r="L182" i="3"/>
  <c r="G155" i="3"/>
  <c r="G156" i="3" s="1"/>
  <c r="H155" i="3" s="1"/>
  <c r="J155" i="3" s="1"/>
  <c r="K180" i="3" l="1"/>
  <c r="K182" i="3"/>
  <c r="K175" i="3" s="1"/>
  <c r="M180" i="3"/>
  <c r="L175" i="3"/>
  <c r="M178" i="3"/>
  <c r="L145" i="3"/>
  <c r="M145" i="3" s="1"/>
  <c r="J145" i="3"/>
  <c r="M182" i="3" l="1"/>
  <c r="M175" i="3"/>
  <c r="L144" i="3"/>
  <c r="M144" i="3" s="1"/>
  <c r="J144" i="3"/>
  <c r="L143" i="3" l="1"/>
  <c r="J143" i="3"/>
  <c r="G188" i="3"/>
  <c r="H187" i="3" s="1"/>
  <c r="G202" i="3"/>
  <c r="L203" i="3"/>
  <c r="K203" i="3"/>
  <c r="K202" i="3" l="1"/>
  <c r="L202" i="3"/>
  <c r="L201" i="3" s="1"/>
  <c r="J187" i="3"/>
  <c r="K187" i="3"/>
  <c r="M187" i="3" s="1"/>
  <c r="M203" i="3"/>
  <c r="M143" i="3"/>
  <c r="K201" i="3"/>
  <c r="G61" i="3"/>
  <c r="G62" i="3" s="1"/>
  <c r="H61" i="3" s="1"/>
  <c r="G59" i="3"/>
  <c r="G60" i="3" s="1"/>
  <c r="H59" i="3" s="1"/>
  <c r="F51" i="3"/>
  <c r="G51" i="3" s="1"/>
  <c r="H50" i="3" s="1"/>
  <c r="G49" i="3"/>
  <c r="H48" i="3" s="1"/>
  <c r="G43" i="3"/>
  <c r="G35" i="3"/>
  <c r="M202" i="3" l="1"/>
  <c r="L35" i="3"/>
  <c r="G36" i="3"/>
  <c r="H35" i="3" s="1"/>
  <c r="J35" i="3" s="1"/>
  <c r="L43" i="3"/>
  <c r="M201" i="3"/>
  <c r="K50" i="3"/>
  <c r="M50" i="3" s="1"/>
  <c r="J50" i="3"/>
  <c r="K35" i="3" l="1"/>
  <c r="M35" i="3" s="1"/>
  <c r="G66" i="3"/>
  <c r="L66" i="3" s="1"/>
  <c r="L63" i="3" s="1"/>
  <c r="F158" i="3" l="1"/>
  <c r="G158" i="3" s="1"/>
  <c r="H157" i="3" s="1"/>
  <c r="J157" i="3" s="1"/>
  <c r="F154" i="3"/>
  <c r="G154" i="3" s="1"/>
  <c r="H153" i="3" s="1"/>
  <c r="J153" i="3" s="1"/>
  <c r="G197" i="3"/>
  <c r="H196" i="3" s="1"/>
  <c r="L193" i="3"/>
  <c r="D193" i="3"/>
  <c r="G192" i="3"/>
  <c r="H191" i="3" s="1"/>
  <c r="G190" i="3"/>
  <c r="H189" i="3" s="1"/>
  <c r="G186" i="3"/>
  <c r="H185" i="3" s="1"/>
  <c r="D175" i="3"/>
  <c r="L161" i="3"/>
  <c r="L157" i="3"/>
  <c r="L151" i="3"/>
  <c r="M151" i="3" s="1"/>
  <c r="J151" i="3"/>
  <c r="J150" i="3"/>
  <c r="L150" i="3"/>
  <c r="J148" i="3"/>
  <c r="K148" i="3"/>
  <c r="K142" i="3" s="1"/>
  <c r="L147" i="3"/>
  <c r="J147" i="3"/>
  <c r="J146" i="3"/>
  <c r="L146" i="3"/>
  <c r="L142" i="3" s="1"/>
  <c r="D122" i="3"/>
  <c r="G138" i="3"/>
  <c r="G120" i="3" s="1"/>
  <c r="L120" i="3" s="1"/>
  <c r="L119" i="3" l="1"/>
  <c r="M120" i="3"/>
  <c r="M142" i="3"/>
  <c r="K189" i="3"/>
  <c r="M189" i="3" s="1"/>
  <c r="J189" i="3"/>
  <c r="J185" i="3"/>
  <c r="K185" i="3"/>
  <c r="J191" i="3"/>
  <c r="K191" i="3"/>
  <c r="M191" i="3" s="1"/>
  <c r="K196" i="3"/>
  <c r="M196" i="3" s="1"/>
  <c r="J196" i="3"/>
  <c r="L149" i="3"/>
  <c r="M149" i="3" s="1"/>
  <c r="M146" i="3"/>
  <c r="M147" i="3"/>
  <c r="L155" i="3"/>
  <c r="L195" i="3"/>
  <c r="K157" i="3"/>
  <c r="M157" i="3" s="1"/>
  <c r="L159" i="3"/>
  <c r="L163" i="3"/>
  <c r="K193" i="3"/>
  <c r="M193" i="3" s="1"/>
  <c r="M150" i="3"/>
  <c r="K159" i="3"/>
  <c r="M148" i="3"/>
  <c r="K165" i="3"/>
  <c r="L165" i="3"/>
  <c r="K195" i="3" l="1"/>
  <c r="M119" i="3"/>
  <c r="L152" i="3"/>
  <c r="L141" i="3" s="1"/>
  <c r="M185" i="3"/>
  <c r="K184" i="3"/>
  <c r="M184" i="3" s="1"/>
  <c r="M195" i="3"/>
  <c r="K155" i="3"/>
  <c r="M155" i="3" s="1"/>
  <c r="M159" i="3"/>
  <c r="M165" i="3"/>
  <c r="K153" i="3"/>
  <c r="K163" i="3"/>
  <c r="M163" i="3" s="1"/>
  <c r="K161" i="3"/>
  <c r="M161" i="3" s="1"/>
  <c r="D138" i="3"/>
  <c r="G137" i="3"/>
  <c r="H136" i="3" s="1"/>
  <c r="G131" i="3"/>
  <c r="F126" i="3"/>
  <c r="G125" i="3"/>
  <c r="L125" i="3" s="1"/>
  <c r="J121" i="3"/>
  <c r="J120" i="3"/>
  <c r="G22" i="3"/>
  <c r="L140" i="3" l="1"/>
  <c r="G132" i="3"/>
  <c r="H131" i="3" s="1"/>
  <c r="L131" i="3"/>
  <c r="L122" i="3" s="1"/>
  <c r="L118" i="3" s="1"/>
  <c r="K131" i="3"/>
  <c r="J131" i="3"/>
  <c r="J136" i="3"/>
  <c r="K136" i="3"/>
  <c r="K152" i="3"/>
  <c r="M153" i="3"/>
  <c r="G126" i="3"/>
  <c r="H125" i="3" s="1"/>
  <c r="J22" i="3"/>
  <c r="M131" i="3" l="1"/>
  <c r="M152" i="3"/>
  <c r="K141" i="3"/>
  <c r="K125" i="3"/>
  <c r="J125" i="3"/>
  <c r="M136" i="3"/>
  <c r="K135" i="3"/>
  <c r="M135" i="3" s="1"/>
  <c r="L25" i="3"/>
  <c r="M25" i="3" s="1"/>
  <c r="K140" i="3" l="1"/>
  <c r="M140" i="3" s="1"/>
  <c r="M141" i="3"/>
  <c r="M125" i="3"/>
  <c r="K122" i="3"/>
  <c r="J25" i="3"/>
  <c r="M122" i="3" l="1"/>
  <c r="K118" i="3"/>
  <c r="M118" i="3" s="1"/>
  <c r="J21" i="3"/>
  <c r="L21" i="3"/>
  <c r="M21" i="3" s="1"/>
  <c r="L117" i="3" l="1"/>
  <c r="K117" i="3"/>
  <c r="J117" i="3"/>
  <c r="L116" i="3"/>
  <c r="K116" i="3"/>
  <c r="J116" i="3"/>
  <c r="K115" i="3" l="1"/>
  <c r="L115" i="3"/>
  <c r="M117" i="3"/>
  <c r="M116" i="3"/>
  <c r="M115" i="3" l="1"/>
  <c r="L112" i="3"/>
  <c r="K112" i="3"/>
  <c r="J112" i="3"/>
  <c r="L111" i="3"/>
  <c r="K111" i="3"/>
  <c r="J111" i="3"/>
  <c r="L110" i="3"/>
  <c r="K110" i="3"/>
  <c r="J110" i="3"/>
  <c r="M112" i="3" l="1"/>
  <c r="M110" i="3"/>
  <c r="M111" i="3"/>
  <c r="G93" i="3"/>
  <c r="H92" i="3" s="1"/>
  <c r="J92" i="3" s="1"/>
  <c r="L92" i="3"/>
  <c r="G95" i="3"/>
  <c r="L94" i="3"/>
  <c r="G77" i="3"/>
  <c r="D74" i="3"/>
  <c r="F67" i="3"/>
  <c r="G67" i="3" s="1"/>
  <c r="H66" i="3" s="1"/>
  <c r="H94" i="3" l="1"/>
  <c r="J94" i="3" s="1"/>
  <c r="K66" i="3"/>
  <c r="J66" i="3"/>
  <c r="G78" i="3"/>
  <c r="H77" i="3" s="1"/>
  <c r="J77" i="3" s="1"/>
  <c r="K92" i="3"/>
  <c r="K87" i="3"/>
  <c r="K86" i="3" s="1"/>
  <c r="L87" i="3"/>
  <c r="L86" i="3" s="1"/>
  <c r="M86" i="3" s="1"/>
  <c r="L81" i="3"/>
  <c r="L79" i="3"/>
  <c r="L75" i="3"/>
  <c r="L77" i="3"/>
  <c r="K79" i="3"/>
  <c r="K75" i="3"/>
  <c r="K81" i="3"/>
  <c r="K94" i="3" l="1"/>
  <c r="M94" i="3" s="1"/>
  <c r="L74" i="3"/>
  <c r="M66" i="3"/>
  <c r="K63" i="3"/>
  <c r="M63" i="3" s="1"/>
  <c r="K77" i="3"/>
  <c r="K74" i="3" s="1"/>
  <c r="M92" i="3"/>
  <c r="M87" i="3"/>
  <c r="M75" i="3"/>
  <c r="M81" i="3"/>
  <c r="M79" i="3"/>
  <c r="G46" i="3"/>
  <c r="G47" i="3" s="1"/>
  <c r="H46" i="3" s="1"/>
  <c r="L48" i="3"/>
  <c r="L52" i="3"/>
  <c r="M74" i="3" l="1"/>
  <c r="M77" i="3"/>
  <c r="J56" i="3"/>
  <c r="L46" i="3"/>
  <c r="K48" i="3"/>
  <c r="M48" i="3" s="1"/>
  <c r="L56" i="3"/>
  <c r="G44" i="3"/>
  <c r="H43" i="3" s="1"/>
  <c r="G41" i="3"/>
  <c r="G42" i="3" l="1"/>
  <c r="H41" i="3" s="1"/>
  <c r="L41" i="3"/>
  <c r="L30" i="3" s="1"/>
  <c r="J41" i="3"/>
  <c r="K41" i="3"/>
  <c r="J43" i="3"/>
  <c r="K43" i="3"/>
  <c r="M43" i="3" s="1"/>
  <c r="J46" i="3"/>
  <c r="K46" i="3"/>
  <c r="K52" i="3"/>
  <c r="M52" i="3" s="1"/>
  <c r="K61" i="3"/>
  <c r="J48" i="3"/>
  <c r="K56" i="3"/>
  <c r="M56" i="3" s="1"/>
  <c r="L61" i="3"/>
  <c r="M61" i="3" s="1"/>
  <c r="M46" i="3" l="1"/>
  <c r="M41" i="3"/>
  <c r="K30" i="3"/>
  <c r="M30" i="3" s="1"/>
  <c r="J61" i="3"/>
  <c r="G106" i="3"/>
  <c r="L106" i="3" l="1"/>
  <c r="L102" i="3" s="1"/>
  <c r="G107" i="3"/>
  <c r="H106" i="3" s="1"/>
  <c r="J106" i="3" s="1"/>
  <c r="L22" i="3"/>
  <c r="M22" i="3" s="1"/>
  <c r="K106" i="3" l="1"/>
  <c r="J23" i="3"/>
  <c r="M106" i="3" l="1"/>
  <c r="K102" i="3"/>
  <c r="M102" i="3" s="1"/>
  <c r="K26" i="3"/>
  <c r="K19" i="3" s="1"/>
  <c r="J26" i="3"/>
  <c r="L20" i="3"/>
  <c r="J20" i="3"/>
  <c r="M26" i="3" l="1"/>
  <c r="M20" i="3"/>
  <c r="G91" i="3" l="1"/>
  <c r="H90" i="3" s="1"/>
  <c r="J90" i="3" s="1"/>
  <c r="L98" i="3"/>
  <c r="G99" i="3"/>
  <c r="H98" i="3" s="1"/>
  <c r="J98" i="3" s="1"/>
  <c r="L96" i="3"/>
  <c r="G97" i="3"/>
  <c r="H96" i="3" s="1"/>
  <c r="J96" i="3" s="1"/>
  <c r="L109" i="3"/>
  <c r="L108" i="3" s="1"/>
  <c r="K109" i="3"/>
  <c r="K108" i="3" s="1"/>
  <c r="J109" i="3"/>
  <c r="L114" i="3"/>
  <c r="L113" i="3" s="1"/>
  <c r="K114" i="3"/>
  <c r="K113" i="3" s="1"/>
  <c r="J114" i="3"/>
  <c r="M113" i="3" l="1"/>
  <c r="M108" i="3"/>
  <c r="M114" i="3"/>
  <c r="K96" i="3"/>
  <c r="M96" i="3" s="1"/>
  <c r="K98" i="3"/>
  <c r="M98" i="3" s="1"/>
  <c r="M109" i="3"/>
  <c r="L54" i="3"/>
  <c r="J54" i="3" l="1"/>
  <c r="D30" i="3" l="1"/>
  <c r="A10" i="10" l="1"/>
  <c r="J29" i="3" l="1"/>
  <c r="K54" i="3" l="1"/>
  <c r="M54" i="3" l="1"/>
  <c r="L23" i="3" l="1"/>
  <c r="J24" i="3"/>
  <c r="L24" i="3"/>
  <c r="M24" i="3" s="1"/>
  <c r="L19" i="3" l="1"/>
  <c r="M23" i="3"/>
  <c r="F27" i="1"/>
  <c r="F43" i="1"/>
  <c r="M19" i="3" l="1"/>
  <c r="L41" i="1"/>
  <c r="K41" i="1"/>
  <c r="L38" i="1"/>
  <c r="L26" i="1"/>
  <c r="L23" i="1"/>
  <c r="BJ55" i="1"/>
  <c r="E64" i="1" s="1"/>
  <c r="G64" i="1" s="1"/>
  <c r="BI55" i="1"/>
  <c r="D64" i="1" s="1"/>
  <c r="BE55" i="1" l="1"/>
  <c r="D63" i="1" s="1"/>
  <c r="BA55" i="1"/>
  <c r="D62" i="1" s="1"/>
  <c r="AU55" i="1"/>
  <c r="D61" i="1" s="1"/>
  <c r="AR55" i="1"/>
  <c r="E60" i="1" s="1"/>
  <c r="AO55" i="1"/>
  <c r="D60" i="1" s="1"/>
  <c r="AL55" i="1"/>
  <c r="E59" i="1" s="1"/>
  <c r="AJ55" i="1"/>
  <c r="D59" i="1" s="1"/>
  <c r="BG29" i="1" l="1"/>
  <c r="D35" i="1" s="1"/>
  <c r="BC29" i="1"/>
  <c r="D34" i="1" s="1"/>
  <c r="AW29" i="1"/>
  <c r="D33" i="1" s="1"/>
  <c r="N25" i="1"/>
  <c r="D24" i="1" s="1"/>
  <c r="AC14" i="1"/>
  <c r="D18" i="1" s="1"/>
  <c r="X14" i="1"/>
  <c r="D17" i="1" s="1"/>
  <c r="N14" i="1"/>
  <c r="D15" i="1" s="1"/>
  <c r="S14" i="1"/>
  <c r="D16" i="1" s="1"/>
  <c r="L59" i="3" l="1"/>
  <c r="L45" i="3" l="1"/>
  <c r="K59" i="3"/>
  <c r="K45" i="3" s="1"/>
  <c r="J59" i="3"/>
  <c r="M59" i="3" l="1"/>
  <c r="M45" i="3"/>
  <c r="G2" i="1"/>
  <c r="BG55" i="1"/>
  <c r="E63" i="1" s="1"/>
  <c r="G63" i="1" s="1"/>
  <c r="AX55" i="1" l="1"/>
  <c r="E61" i="1" s="1"/>
  <c r="BC55" i="1"/>
  <c r="E62" i="1" s="1"/>
  <c r="AG55" i="1" l="1"/>
  <c r="E58" i="1" s="1"/>
  <c r="AD55" i="1"/>
  <c r="D58" i="1" s="1"/>
  <c r="Z55" i="1"/>
  <c r="E57" i="1" s="1"/>
  <c r="W55" i="1"/>
  <c r="D57" i="1" s="1"/>
  <c r="T55" i="1"/>
  <c r="E56" i="1" s="1"/>
  <c r="P55" i="1"/>
  <c r="E55" i="1" s="1"/>
  <c r="R55" i="1"/>
  <c r="D56" i="1" s="1"/>
  <c r="G54" i="1" l="1"/>
  <c r="H54" i="1" s="1"/>
  <c r="I54" i="1" s="1"/>
  <c r="N55" i="1"/>
  <c r="D55" i="1" s="1"/>
  <c r="H64" i="1" l="1"/>
  <c r="I64" i="1" s="1"/>
  <c r="H63" i="1"/>
  <c r="I63" i="1" s="1"/>
  <c r="G62" i="1"/>
  <c r="H62" i="1" s="1"/>
  <c r="I62" i="1" s="1"/>
  <c r="G61" i="1"/>
  <c r="H61" i="1" s="1"/>
  <c r="I61" i="1" s="1"/>
  <c r="G60" i="1"/>
  <c r="H60" i="1" s="1"/>
  <c r="I60" i="1" s="1"/>
  <c r="G59" i="1"/>
  <c r="H59" i="1" s="1"/>
  <c r="I59" i="1" s="1"/>
  <c r="G58" i="1"/>
  <c r="H58" i="1" s="1"/>
  <c r="J58" i="1" s="1"/>
  <c r="L65" i="1" s="1"/>
  <c r="G57" i="1"/>
  <c r="H57" i="1" s="1"/>
  <c r="I57" i="1" s="1"/>
  <c r="G56" i="1"/>
  <c r="H56" i="1" s="1"/>
  <c r="I56" i="1" s="1"/>
  <c r="A56" i="1"/>
  <c r="G55" i="1"/>
  <c r="H55" i="1" s="1"/>
  <c r="I55" i="1" s="1"/>
  <c r="K65" i="1" s="1"/>
  <c r="AH44" i="1"/>
  <c r="AG44" i="1"/>
  <c r="D48" i="1" s="1"/>
  <c r="AE44" i="1"/>
  <c r="AC44" i="1"/>
  <c r="D47" i="1" s="1"/>
  <c r="AA44" i="1"/>
  <c r="E46" i="1" s="1"/>
  <c r="G46" i="1" s="1"/>
  <c r="Y44" i="1"/>
  <c r="D46" i="1" s="1"/>
  <c r="W44" i="1"/>
  <c r="E45" i="1" s="1"/>
  <c r="G45" i="1" s="1"/>
  <c r="U44" i="1"/>
  <c r="D45" i="1" s="1"/>
  <c r="S44" i="1"/>
  <c r="E44" i="1" s="1"/>
  <c r="G44" i="1" s="1"/>
  <c r="Q44" i="1"/>
  <c r="D44" i="1" s="1"/>
  <c r="O44" i="1"/>
  <c r="E43" i="1" s="1"/>
  <c r="A43" i="1"/>
  <c r="N44" i="1"/>
  <c r="D43" i="1" s="1"/>
  <c r="A44" i="1"/>
  <c r="G42" i="1"/>
  <c r="H42" i="1" s="1"/>
  <c r="I42" i="1" s="1"/>
  <c r="Q40" i="1"/>
  <c r="E39" i="1" s="1"/>
  <c r="G39" i="1" s="1"/>
  <c r="N40" i="1"/>
  <c r="D39" i="1" s="1"/>
  <c r="A40" i="1"/>
  <c r="A41" i="1"/>
  <c r="H46" i="1" l="1"/>
  <c r="J46" i="1" s="1"/>
  <c r="E47" i="1"/>
  <c r="G47" i="1" s="1"/>
  <c r="H47" i="1" s="1"/>
  <c r="J47" i="1" s="1"/>
  <c r="E48" i="1"/>
  <c r="G48" i="1" s="1"/>
  <c r="H48" i="1" s="1"/>
  <c r="I48" i="1" s="1"/>
  <c r="H45" i="1"/>
  <c r="I45" i="1" s="1"/>
  <c r="K53" i="1" s="1"/>
  <c r="H44" i="1"/>
  <c r="J44" i="1" s="1"/>
  <c r="H39" i="1"/>
  <c r="G43" i="1"/>
  <c r="H43" i="1" s="1"/>
  <c r="I43" i="1" s="1"/>
  <c r="BN29" i="1"/>
  <c r="D37" i="1" s="1"/>
  <c r="BL29" i="1"/>
  <c r="BO29" i="1" s="1"/>
  <c r="E37" i="1" s="1"/>
  <c r="BK29" i="1"/>
  <c r="D36" i="1" s="1"/>
  <c r="BI29" i="1"/>
  <c r="E35" i="1" s="1"/>
  <c r="BD29" i="1"/>
  <c r="E34" i="1" s="1"/>
  <c r="AQ29" i="1"/>
  <c r="E31" i="1" s="1"/>
  <c r="AL29" i="1"/>
  <c r="E30" i="1" s="1"/>
  <c r="AF29" i="1"/>
  <c r="E29" i="1" s="1"/>
  <c r="W29" i="1"/>
  <c r="E28" i="1" s="1"/>
  <c r="AU29" i="1"/>
  <c r="E32" i="1" s="1"/>
  <c r="AY29" i="1"/>
  <c r="E33" i="1" s="1"/>
  <c r="AT29" i="1"/>
  <c r="D32" i="1" s="1"/>
  <c r="C32" i="1"/>
  <c r="AP29" i="1"/>
  <c r="D31" i="1" s="1"/>
  <c r="AJ29" i="1"/>
  <c r="D30" i="1" s="1"/>
  <c r="AC29" i="1"/>
  <c r="D29" i="1" s="1"/>
  <c r="T29" i="1"/>
  <c r="D28" i="1" s="1"/>
  <c r="N29" i="1"/>
  <c r="D27" i="1" s="1"/>
  <c r="P29" i="1"/>
  <c r="E27" i="1" s="1"/>
  <c r="F28" i="1"/>
  <c r="F29" i="1"/>
  <c r="F30" i="1"/>
  <c r="F31" i="1"/>
  <c r="F32" i="1"/>
  <c r="F33" i="1"/>
  <c r="F34" i="1"/>
  <c r="F35" i="1"/>
  <c r="F36" i="1"/>
  <c r="F37" i="1"/>
  <c r="C27" i="1"/>
  <c r="F24" i="1"/>
  <c r="P25" i="1"/>
  <c r="E24" i="1" s="1"/>
  <c r="A25" i="1"/>
  <c r="A26" i="1"/>
  <c r="F19" i="1"/>
  <c r="F18" i="1"/>
  <c r="F17" i="1"/>
  <c r="F16" i="1"/>
  <c r="F15" i="1"/>
  <c r="AL14" i="1"/>
  <c r="AF14" i="1"/>
  <c r="E18" i="1" s="1"/>
  <c r="AI14" i="1"/>
  <c r="D19" i="1" s="1"/>
  <c r="Y14" i="1"/>
  <c r="E17" i="1" s="1"/>
  <c r="U14" i="1"/>
  <c r="E16" i="1" s="1"/>
  <c r="O14" i="1"/>
  <c r="E15" i="1" s="1"/>
  <c r="C15" i="1"/>
  <c r="A17" i="1" s="1"/>
  <c r="A16" i="1"/>
  <c r="G7" i="1"/>
  <c r="D9" i="1"/>
  <c r="G8" i="1"/>
  <c r="D4" i="1"/>
  <c r="A28" i="1" s="1"/>
  <c r="F4" i="1"/>
  <c r="G3" i="1"/>
  <c r="J67" i="1" l="1"/>
  <c r="L53" i="1"/>
  <c r="L66" i="1" s="1"/>
  <c r="G27" i="1"/>
  <c r="H27" i="1" s="1"/>
  <c r="I27" i="1" s="1"/>
  <c r="G30" i="1"/>
  <c r="H30" i="1" s="1"/>
  <c r="I30" i="1" s="1"/>
  <c r="G16" i="1"/>
  <c r="H16" i="1" s="1"/>
  <c r="I16" i="1" s="1"/>
  <c r="G9" i="1"/>
  <c r="A55" i="1"/>
  <c r="G29" i="1"/>
  <c r="H29" i="1" s="1"/>
  <c r="I29" i="1" s="1"/>
  <c r="G37" i="1"/>
  <c r="H37" i="1" s="1"/>
  <c r="I37" i="1" s="1"/>
  <c r="G24" i="1"/>
  <c r="H24" i="1" s="1"/>
  <c r="I24" i="1" s="1"/>
  <c r="K26" i="1" s="1"/>
  <c r="G28" i="1"/>
  <c r="H28" i="1" s="1"/>
  <c r="I28" i="1" s="1"/>
  <c r="G34" i="1"/>
  <c r="H34" i="1" s="1"/>
  <c r="I34" i="1" s="1"/>
  <c r="G31" i="1"/>
  <c r="H31" i="1" s="1"/>
  <c r="I31" i="1" s="1"/>
  <c r="G33" i="1"/>
  <c r="H33" i="1" s="1"/>
  <c r="I33" i="1" s="1"/>
  <c r="A29" i="1"/>
  <c r="E36" i="1"/>
  <c r="G36" i="1" s="1"/>
  <c r="H36" i="1" s="1"/>
  <c r="I36" i="1" s="1"/>
  <c r="G35" i="1"/>
  <c r="H35" i="1" s="1"/>
  <c r="I35" i="1" s="1"/>
  <c r="G32" i="1"/>
  <c r="H32" i="1" s="1"/>
  <c r="I32" i="1" s="1"/>
  <c r="G17" i="1"/>
  <c r="H17" i="1" s="1"/>
  <c r="I17" i="1" s="1"/>
  <c r="E19" i="1"/>
  <c r="G19" i="1" s="1"/>
  <c r="H19" i="1" s="1"/>
  <c r="I19" i="1" s="1"/>
  <c r="G18" i="1"/>
  <c r="H18" i="1" s="1"/>
  <c r="I18" i="1" s="1"/>
  <c r="G15" i="1"/>
  <c r="H15" i="1" s="1"/>
  <c r="I15" i="1" s="1"/>
  <c r="K23" i="1" s="1"/>
  <c r="G4" i="1"/>
  <c r="K38" i="1" l="1"/>
  <c r="K66" i="1" s="1"/>
  <c r="L68" i="1" s="1"/>
  <c r="I67" i="1"/>
  <c r="J68" i="1" s="1"/>
  <c r="B97" i="2" l="1"/>
  <c r="BN6" i="2"/>
  <c r="BO6" i="2"/>
  <c r="BP6" i="2"/>
  <c r="BQ6" i="2"/>
  <c r="BN7" i="2"/>
  <c r="BR7" i="2" s="1"/>
  <c r="BS7" i="2" s="1"/>
  <c r="BO7" i="2"/>
  <c r="BQ7" i="2" s="1"/>
  <c r="BP7" i="2"/>
  <c r="BN8" i="2"/>
  <c r="BO8" i="2"/>
  <c r="BQ8" i="2" s="1"/>
  <c r="BP8" i="2"/>
  <c r="BN9" i="2"/>
  <c r="BO9" i="2"/>
  <c r="BP9" i="2"/>
  <c r="BN10" i="2"/>
  <c r="BO10" i="2"/>
  <c r="BP10" i="2"/>
  <c r="BQ10" i="2"/>
  <c r="BR10" i="2" s="1"/>
  <c r="BS10" i="2" s="1"/>
  <c r="BN11" i="2"/>
  <c r="BO11" i="2"/>
  <c r="BP11" i="2"/>
  <c r="BX12" i="2"/>
  <c r="BN13" i="2"/>
  <c r="BO13" i="2"/>
  <c r="BP13" i="2"/>
  <c r="BO14" i="2"/>
  <c r="BQ14" i="2" s="1"/>
  <c r="BP14" i="2"/>
  <c r="BN15" i="2"/>
  <c r="BP15" i="2"/>
  <c r="BQ15" i="2" s="1"/>
  <c r="BR15" i="2" s="1"/>
  <c r="BS15" i="2" s="1"/>
  <c r="BX19" i="2"/>
  <c r="BO21" i="2"/>
  <c r="BQ21" i="2" s="1"/>
  <c r="BN22" i="2"/>
  <c r="BN21" i="2" s="1"/>
  <c r="BO22" i="2"/>
  <c r="BQ22" i="2" s="1"/>
  <c r="BN23" i="2"/>
  <c r="BR23" i="2" s="1"/>
  <c r="BT23" i="2" s="1"/>
  <c r="BO23" i="2"/>
  <c r="BQ23" i="2"/>
  <c r="BN24" i="2"/>
  <c r="BO24" i="2"/>
  <c r="BQ24" i="2" s="1"/>
  <c r="BR24" i="2" s="1"/>
  <c r="BT24" i="2" s="1"/>
  <c r="BN25" i="2"/>
  <c r="BR25" i="2" s="1"/>
  <c r="BT25" i="2" s="1"/>
  <c r="BO25" i="2"/>
  <c r="BQ25" i="2" s="1"/>
  <c r="BN26" i="2"/>
  <c r="BO26" i="2"/>
  <c r="BQ26" i="2" s="1"/>
  <c r="BR26" i="2" s="1"/>
  <c r="BS26" i="2" s="1"/>
  <c r="BZ26" i="2"/>
  <c r="BN29" i="2" s="1"/>
  <c r="CE26" i="2"/>
  <c r="BO29" i="2" s="1"/>
  <c r="BQ29" i="2" s="1"/>
  <c r="BQ30" i="2"/>
  <c r="BR30" i="2"/>
  <c r="BQ31" i="2"/>
  <c r="BR31" i="2" s="1"/>
  <c r="BW40" i="2"/>
  <c r="BR6" i="2" l="1"/>
  <c r="BS6" i="2" s="1"/>
  <c r="BW12" i="2" s="1"/>
  <c r="BQ11" i="2"/>
  <c r="BQ9" i="2"/>
  <c r="BR9" i="2" s="1"/>
  <c r="BS9" i="2" s="1"/>
  <c r="BR21" i="2"/>
  <c r="BS21" i="2" s="1"/>
  <c r="BR8" i="2"/>
  <c r="BS8" i="2" s="1"/>
  <c r="BQ13" i="2"/>
  <c r="BR13" i="2" s="1"/>
  <c r="BS13" i="2" s="1"/>
  <c r="BW19" i="2" s="1"/>
  <c r="BR29" i="2"/>
  <c r="BT29" i="2" s="1"/>
  <c r="BX40" i="2" s="1"/>
  <c r="BX49" i="2" s="1"/>
  <c r="F99" i="2" s="1"/>
  <c r="BX26" i="2"/>
  <c r="BR11" i="2"/>
  <c r="BS11" i="2" s="1"/>
  <c r="BR22" i="2"/>
  <c r="BS22" i="2" s="1"/>
  <c r="BW26" i="2" s="1"/>
  <c r="BN14" i="2"/>
  <c r="BR14" i="2" s="1"/>
  <c r="BS14" i="2" s="1"/>
  <c r="AU21" i="2"/>
  <c r="BE41" i="2"/>
  <c r="AT29" i="2" s="1"/>
  <c r="BE27" i="2"/>
  <c r="AS29" i="2" s="1"/>
  <c r="AV21" i="2"/>
  <c r="AT26" i="2"/>
  <c r="AT25" i="2"/>
  <c r="AV25" i="2" s="1"/>
  <c r="AT24" i="2"/>
  <c r="AT23" i="2"/>
  <c r="AT22" i="2"/>
  <c r="AT21" i="2"/>
  <c r="AV26" i="2"/>
  <c r="AU22" i="2"/>
  <c r="AU23" i="2"/>
  <c r="AU24" i="2"/>
  <c r="AU25" i="2"/>
  <c r="AU26" i="2"/>
  <c r="AS26" i="2"/>
  <c r="F37" i="2"/>
  <c r="AS25" i="2"/>
  <c r="AS24" i="2"/>
  <c r="AS23" i="2"/>
  <c r="AS22" i="2"/>
  <c r="AS21" i="2"/>
  <c r="AT18" i="2"/>
  <c r="AT17" i="2"/>
  <c r="AT16" i="2"/>
  <c r="AT14" i="2"/>
  <c r="AT15" i="2"/>
  <c r="AT13" i="2"/>
  <c r="AV13" i="2" s="1"/>
  <c r="AU14" i="2"/>
  <c r="AU15" i="2"/>
  <c r="AU16" i="2"/>
  <c r="AU17" i="2"/>
  <c r="AU18" i="2"/>
  <c r="AU13" i="2"/>
  <c r="Y13" i="2"/>
  <c r="Y14" i="2"/>
  <c r="Y15" i="2"/>
  <c r="Y16" i="2"/>
  <c r="Y17" i="2"/>
  <c r="Y18" i="2"/>
  <c r="Y19" i="2"/>
  <c r="Y20" i="2"/>
  <c r="Y21" i="2"/>
  <c r="Y22" i="2"/>
  <c r="Y23" i="2"/>
  <c r="Y24" i="2"/>
  <c r="Y25" i="2"/>
  <c r="Y26" i="2"/>
  <c r="Y27" i="2"/>
  <c r="Y28" i="2"/>
  <c r="Y29" i="2"/>
  <c r="AS13" i="2"/>
  <c r="BO40" i="2" l="1"/>
  <c r="AV24" i="2"/>
  <c r="AV22" i="2"/>
  <c r="AV23" i="2"/>
  <c r="BW48" i="2"/>
  <c r="F98" i="2" s="1"/>
  <c r="BX50" i="2"/>
  <c r="F100" i="2" s="1"/>
  <c r="BX48" i="2"/>
  <c r="BO41" i="2"/>
  <c r="AS18" i="2" l="1"/>
  <c r="AS17" i="2"/>
  <c r="AS16" i="2"/>
  <c r="AS15" i="2"/>
  <c r="AS14" i="2"/>
  <c r="AT9" i="2"/>
  <c r="AT8" i="2"/>
  <c r="AT7" i="2"/>
  <c r="AT6" i="2"/>
  <c r="AU7" i="2"/>
  <c r="AU8" i="2"/>
  <c r="AU9" i="2"/>
  <c r="AU6" i="2"/>
  <c r="Y6" i="2"/>
  <c r="AS9" i="2"/>
  <c r="AS8" i="2"/>
  <c r="AS7" i="2"/>
  <c r="AS6" i="2"/>
  <c r="R46" i="2"/>
  <c r="E48" i="2" s="1"/>
  <c r="V23" i="2" l="1"/>
  <c r="AV6" i="2" l="1"/>
  <c r="AW6" i="2" s="1"/>
  <c r="AX6" i="2" s="1"/>
  <c r="BB40" i="2"/>
  <c r="AV29" i="2"/>
  <c r="AV31" i="2"/>
  <c r="AW31" i="2" s="1"/>
  <c r="AV30" i="2"/>
  <c r="AW30" i="2" s="1"/>
  <c r="AW26" i="2"/>
  <c r="AX26" i="2" s="1"/>
  <c r="AW25" i="2"/>
  <c r="AX25" i="2" s="1"/>
  <c r="AW24" i="2"/>
  <c r="AX24" i="2" s="1"/>
  <c r="AW23" i="2"/>
  <c r="AX23" i="2" s="1"/>
  <c r="AW22" i="2"/>
  <c r="AX22" i="2" s="1"/>
  <c r="AW21" i="2"/>
  <c r="AX21" i="2" s="1"/>
  <c r="BC19" i="2"/>
  <c r="AV18" i="2"/>
  <c r="AW18" i="2" s="1"/>
  <c r="AX18" i="2" s="1"/>
  <c r="AV17" i="2"/>
  <c r="AW17" i="2" s="1"/>
  <c r="AX17" i="2" s="1"/>
  <c r="AV16" i="2"/>
  <c r="AW16" i="2" s="1"/>
  <c r="AX16" i="2" s="1"/>
  <c r="AV15" i="2"/>
  <c r="AW15" i="2" s="1"/>
  <c r="AX15" i="2" s="1"/>
  <c r="AV14" i="2"/>
  <c r="AW13" i="2"/>
  <c r="AX13" i="2" s="1"/>
  <c r="BC12" i="2"/>
  <c r="AV9" i="2"/>
  <c r="AW9" i="2" s="1"/>
  <c r="AX9" i="2" s="1"/>
  <c r="AV8" i="2"/>
  <c r="AV7" i="2"/>
  <c r="AF36" i="2"/>
  <c r="AH44" i="2"/>
  <c r="AH38" i="2"/>
  <c r="Y35" i="2"/>
  <c r="Y34" i="2"/>
  <c r="Y33" i="2"/>
  <c r="Y32" i="2"/>
  <c r="Y31" i="2"/>
  <c r="X35" i="2"/>
  <c r="X34" i="2"/>
  <c r="X33" i="2"/>
  <c r="X32" i="2"/>
  <c r="X31" i="2"/>
  <c r="W35" i="2"/>
  <c r="W34" i="2"/>
  <c r="W33" i="2"/>
  <c r="W32" i="2"/>
  <c r="W31" i="2"/>
  <c r="AG12" i="2"/>
  <c r="X11" i="2"/>
  <c r="X10" i="2"/>
  <c r="X9" i="2"/>
  <c r="X8" i="2"/>
  <c r="X7" i="2"/>
  <c r="X6" i="2"/>
  <c r="Y7" i="2"/>
  <c r="Y8" i="2"/>
  <c r="Y9" i="2"/>
  <c r="Y10" i="2"/>
  <c r="Y11" i="2"/>
  <c r="X28" i="2"/>
  <c r="X29" i="2"/>
  <c r="X26" i="2"/>
  <c r="W25" i="2"/>
  <c r="X27" i="2"/>
  <c r="Z27" i="2" s="1"/>
  <c r="X24" i="2"/>
  <c r="X23" i="2"/>
  <c r="X22" i="2"/>
  <c r="X21" i="2"/>
  <c r="X20" i="2"/>
  <c r="X19" i="2"/>
  <c r="X18" i="2"/>
  <c r="X17" i="2"/>
  <c r="X16" i="2"/>
  <c r="BB26" i="2" l="1"/>
  <c r="W39" i="2"/>
  <c r="X39" i="2"/>
  <c r="AW29" i="2"/>
  <c r="AW7" i="2"/>
  <c r="AX7" i="2" s="1"/>
  <c r="AW14" i="2"/>
  <c r="AX14" i="2" s="1"/>
  <c r="BB19" i="2" s="1"/>
  <c r="BC26" i="2"/>
  <c r="AW8" i="2"/>
  <c r="AX8" i="2" s="1"/>
  <c r="Z6" i="2"/>
  <c r="X15" i="2"/>
  <c r="X14" i="2"/>
  <c r="X13" i="2"/>
  <c r="Z13" i="2" s="1"/>
  <c r="F6" i="2"/>
  <c r="Z29" i="2"/>
  <c r="Z28" i="2"/>
  <c r="Z26" i="2"/>
  <c r="Z25" i="2"/>
  <c r="AA25" i="2" s="1"/>
  <c r="AB25" i="2" s="1"/>
  <c r="Z21" i="2"/>
  <c r="Z24" i="2"/>
  <c r="W29" i="2"/>
  <c r="W28" i="2"/>
  <c r="W27" i="2"/>
  <c r="AA27" i="2" s="1"/>
  <c r="AC27" i="2" s="1"/>
  <c r="W26" i="2"/>
  <c r="W24" i="2"/>
  <c r="Z22" i="2"/>
  <c r="Z23" i="2"/>
  <c r="W23" i="2"/>
  <c r="W22" i="2"/>
  <c r="W21" i="2"/>
  <c r="AY29" i="2" l="1"/>
  <c r="BC40" i="2" s="1"/>
  <c r="BB12" i="2"/>
  <c r="BB48" i="2" s="1"/>
  <c r="E98" i="2" s="1"/>
  <c r="AA24" i="2"/>
  <c r="AC24" i="2" s="1"/>
  <c r="AA28" i="2"/>
  <c r="AB28" i="2" s="1"/>
  <c r="AA23" i="2"/>
  <c r="AC23" i="2" s="1"/>
  <c r="AA29" i="2"/>
  <c r="AC29" i="2" s="1"/>
  <c r="AA22" i="2"/>
  <c r="AC22" i="2" s="1"/>
  <c r="AA21" i="2"/>
  <c r="AC21" i="2" s="1"/>
  <c r="AA26" i="2"/>
  <c r="AB26" i="2" s="1"/>
  <c r="W20" i="2"/>
  <c r="W19" i="2"/>
  <c r="W18" i="2"/>
  <c r="W17" i="2"/>
  <c r="W16" i="2"/>
  <c r="W15" i="2"/>
  <c r="W14" i="2"/>
  <c r="W13" i="2"/>
  <c r="AA13" i="2" s="1"/>
  <c r="AC13" i="2" s="1"/>
  <c r="Z12" i="2"/>
  <c r="AA12" i="2" s="1"/>
  <c r="T7" i="2"/>
  <c r="W11" i="2"/>
  <c r="W10" i="2"/>
  <c r="W9" i="2"/>
  <c r="W8" i="2"/>
  <c r="W7" i="2"/>
  <c r="W6" i="2"/>
  <c r="AA6" i="2" s="1"/>
  <c r="AB6" i="2" s="1"/>
  <c r="BC48" i="2" l="1"/>
  <c r="BC49" i="2" s="1"/>
  <c r="E99" i="2" s="1"/>
  <c r="AT41" i="2"/>
  <c r="AT40" i="2"/>
  <c r="E49" i="2"/>
  <c r="Z31" i="2"/>
  <c r="AA31" i="2" s="1"/>
  <c r="AC31" i="2" s="1"/>
  <c r="Z14" i="2"/>
  <c r="AA14" i="2" s="1"/>
  <c r="AC14" i="2" s="1"/>
  <c r="Z15" i="2"/>
  <c r="AA15" i="2" s="1"/>
  <c r="AC15" i="2" s="1"/>
  <c r="Z16" i="2"/>
  <c r="AA16" i="2" s="1"/>
  <c r="AB16" i="2" s="1"/>
  <c r="Z17" i="2"/>
  <c r="AA17" i="2" s="1"/>
  <c r="AC17" i="2" s="1"/>
  <c r="Z18" i="2"/>
  <c r="AA18" i="2" s="1"/>
  <c r="AC18" i="2" s="1"/>
  <c r="Z19" i="2"/>
  <c r="AA19" i="2" s="1"/>
  <c r="AB19" i="2" s="1"/>
  <c r="Z20" i="2"/>
  <c r="AA20" i="2" s="1"/>
  <c r="AB20" i="2" s="1"/>
  <c r="Z30" i="2"/>
  <c r="AA30" i="2" s="1"/>
  <c r="AF50" i="2"/>
  <c r="Z41" i="2"/>
  <c r="AA41" i="2" s="1"/>
  <c r="Z40" i="2"/>
  <c r="AA40" i="2" s="1"/>
  <c r="Z39" i="2"/>
  <c r="AA39" i="2" s="1"/>
  <c r="AC39" i="2" s="1"/>
  <c r="Z36" i="2"/>
  <c r="AA36" i="2" s="1"/>
  <c r="Z35" i="2"/>
  <c r="AA35" i="2" s="1"/>
  <c r="AC35" i="2" s="1"/>
  <c r="Z34" i="2"/>
  <c r="Z33" i="2"/>
  <c r="Z32" i="2"/>
  <c r="AA32" i="2" s="1"/>
  <c r="AC32" i="2" s="1"/>
  <c r="Z11" i="2"/>
  <c r="AA11" i="2" s="1"/>
  <c r="AB11" i="2" s="1"/>
  <c r="Z10" i="2"/>
  <c r="AA10" i="2" s="1"/>
  <c r="AB10" i="2" s="1"/>
  <c r="Z9" i="2"/>
  <c r="AA9" i="2" s="1"/>
  <c r="AB9" i="2" s="1"/>
  <c r="Z8" i="2"/>
  <c r="AA8" i="2" s="1"/>
  <c r="AB8" i="2" s="1"/>
  <c r="Z7" i="2"/>
  <c r="AA7" i="2" s="1"/>
  <c r="AB7" i="2" s="1"/>
  <c r="A49" i="2"/>
  <c r="A38" i="2"/>
  <c r="A27" i="2"/>
  <c r="A7" i="2"/>
  <c r="M78" i="2"/>
  <c r="F78" i="2"/>
  <c r="D77" i="2"/>
  <c r="D76" i="2"/>
  <c r="D75" i="2"/>
  <c r="D74" i="2"/>
  <c r="D73" i="2"/>
  <c r="AG26" i="2" l="1"/>
  <c r="AF12" i="2"/>
  <c r="E72" i="2"/>
  <c r="E64" i="2"/>
  <c r="E56" i="2"/>
  <c r="E71" i="2"/>
  <c r="E63" i="2"/>
  <c r="E55" i="2"/>
  <c r="E70" i="2"/>
  <c r="E77" i="2"/>
  <c r="E69" i="2"/>
  <c r="E61" i="2"/>
  <c r="E53" i="2"/>
  <c r="E78" i="2"/>
  <c r="G78" i="2" s="1"/>
  <c r="H78" i="2" s="1"/>
  <c r="J78" i="2" s="1"/>
  <c r="E62" i="2"/>
  <c r="E54" i="2"/>
  <c r="E76" i="2"/>
  <c r="E68" i="2"/>
  <c r="E60" i="2"/>
  <c r="E52" i="2"/>
  <c r="E75" i="2"/>
  <c r="E67" i="2"/>
  <c r="E59" i="2"/>
  <c r="E51" i="2"/>
  <c r="E50" i="2"/>
  <c r="E74" i="2"/>
  <c r="E66" i="2"/>
  <c r="E58" i="2"/>
  <c r="E73" i="2"/>
  <c r="E65" i="2"/>
  <c r="E57" i="2"/>
  <c r="AA33" i="2"/>
  <c r="AC33" i="2" s="1"/>
  <c r="AF26" i="2"/>
  <c r="AA34" i="2"/>
  <c r="AC34" i="2" s="1"/>
  <c r="AG50" i="2"/>
  <c r="AG59" i="2" s="1"/>
  <c r="D99" i="2" s="1"/>
  <c r="D72" i="2"/>
  <c r="D71" i="2"/>
  <c r="D70" i="2"/>
  <c r="D69" i="2"/>
  <c r="F69" i="2"/>
  <c r="F70" i="2"/>
  <c r="F71" i="2"/>
  <c r="F72" i="2"/>
  <c r="F73" i="2"/>
  <c r="F74" i="2"/>
  <c r="D68" i="2"/>
  <c r="D67" i="2"/>
  <c r="D66" i="2"/>
  <c r="D65" i="2"/>
  <c r="D64" i="2"/>
  <c r="D63" i="2"/>
  <c r="D62" i="2"/>
  <c r="D61" i="2"/>
  <c r="D60" i="2"/>
  <c r="F75" i="2"/>
  <c r="F68" i="2"/>
  <c r="F67" i="2"/>
  <c r="F66" i="2"/>
  <c r="F65" i="2"/>
  <c r="F64" i="2"/>
  <c r="F63" i="2"/>
  <c r="F77" i="2"/>
  <c r="F49" i="2"/>
  <c r="G49" i="2" s="1"/>
  <c r="H49" i="2" s="1"/>
  <c r="J49" i="2" s="1"/>
  <c r="F50" i="2"/>
  <c r="F51" i="2"/>
  <c r="F52" i="2"/>
  <c r="F53" i="2"/>
  <c r="F54" i="2"/>
  <c r="F55" i="2"/>
  <c r="F56" i="2"/>
  <c r="F57" i="2"/>
  <c r="F58" i="2"/>
  <c r="F59" i="2"/>
  <c r="F60" i="2"/>
  <c r="F61" i="2"/>
  <c r="F62" i="2"/>
  <c r="F76" i="2"/>
  <c r="F48" i="2"/>
  <c r="D58" i="2"/>
  <c r="D57" i="2"/>
  <c r="D56" i="2"/>
  <c r="D55" i="2"/>
  <c r="D54" i="2"/>
  <c r="D53" i="2"/>
  <c r="D52" i="2"/>
  <c r="D51" i="2"/>
  <c r="D48" i="2"/>
  <c r="F38" i="2"/>
  <c r="F39" i="2"/>
  <c r="F40" i="2"/>
  <c r="F41" i="2"/>
  <c r="F42" i="2"/>
  <c r="F43" i="2"/>
  <c r="F44" i="2"/>
  <c r="F45" i="2"/>
  <c r="AF58" i="2" l="1"/>
  <c r="D98" i="2" s="1"/>
  <c r="AG36" i="2"/>
  <c r="X51" i="2" s="1"/>
  <c r="X50" i="2"/>
  <c r="G59" i="2"/>
  <c r="H59" i="2" s="1"/>
  <c r="J59" i="2" s="1"/>
  <c r="G62" i="2"/>
  <c r="H62" i="2" s="1"/>
  <c r="J62" i="2" s="1"/>
  <c r="G76" i="2"/>
  <c r="H76" i="2" s="1"/>
  <c r="J76" i="2" s="1"/>
  <c r="G63" i="2"/>
  <c r="H63" i="2" s="1"/>
  <c r="J63" i="2" s="1"/>
  <c r="G57" i="2"/>
  <c r="H57" i="2" s="1"/>
  <c r="J57" i="2" s="1"/>
  <c r="G65" i="2"/>
  <c r="H65" i="2" s="1"/>
  <c r="J65" i="2" s="1"/>
  <c r="G67" i="2"/>
  <c r="H67" i="2" s="1"/>
  <c r="J67" i="2" s="1"/>
  <c r="G71" i="2"/>
  <c r="H71" i="2" s="1"/>
  <c r="J71" i="2" s="1"/>
  <c r="G73" i="2"/>
  <c r="H73" i="2" s="1"/>
  <c r="J73" i="2" s="1"/>
  <c r="G75" i="2"/>
  <c r="H75" i="2" s="1"/>
  <c r="J75" i="2" s="1"/>
  <c r="G53" i="2"/>
  <c r="H53" i="2" s="1"/>
  <c r="J53" i="2" s="1"/>
  <c r="G48" i="2"/>
  <c r="H48" i="2" s="1"/>
  <c r="J48" i="2" s="1"/>
  <c r="G58" i="2"/>
  <c r="H58" i="2" s="1"/>
  <c r="J58" i="2" s="1"/>
  <c r="G52" i="2"/>
  <c r="H52" i="2" s="1"/>
  <c r="J52" i="2" s="1"/>
  <c r="G61" i="2"/>
  <c r="H61" i="2" s="1"/>
  <c r="J61" i="2" s="1"/>
  <c r="G56" i="2"/>
  <c r="H56" i="2" s="1"/>
  <c r="J56" i="2" s="1"/>
  <c r="G66" i="2"/>
  <c r="H66" i="2" s="1"/>
  <c r="J66" i="2" s="1"/>
  <c r="G60" i="2"/>
  <c r="H60" i="2" s="1"/>
  <c r="J60" i="2" s="1"/>
  <c r="G69" i="2"/>
  <c r="H69" i="2" s="1"/>
  <c r="J69" i="2" s="1"/>
  <c r="G64" i="2"/>
  <c r="H64" i="2" s="1"/>
  <c r="J64" i="2" s="1"/>
  <c r="G74" i="2"/>
  <c r="H74" i="2" s="1"/>
  <c r="J74" i="2" s="1"/>
  <c r="G68" i="2"/>
  <c r="H68" i="2" s="1"/>
  <c r="J68" i="2" s="1"/>
  <c r="G77" i="2"/>
  <c r="H77" i="2" s="1"/>
  <c r="J77" i="2" s="1"/>
  <c r="G72" i="2"/>
  <c r="H72" i="2" s="1"/>
  <c r="J72" i="2" s="1"/>
  <c r="G50" i="2"/>
  <c r="H50" i="2" s="1"/>
  <c r="J50" i="2" s="1"/>
  <c r="G70" i="2"/>
  <c r="H70" i="2" s="1"/>
  <c r="J70" i="2" s="1"/>
  <c r="G51" i="2"/>
  <c r="H51" i="2" s="1"/>
  <c r="J51" i="2" s="1"/>
  <c r="G54" i="2"/>
  <c r="H54" i="2" s="1"/>
  <c r="J54" i="2" s="1"/>
  <c r="G55" i="2"/>
  <c r="H55" i="2" s="1"/>
  <c r="J55" i="2" s="1"/>
  <c r="N78" i="2" l="1"/>
  <c r="N87" i="2" s="1"/>
  <c r="C99" i="2" s="1"/>
  <c r="B99" i="2" s="1"/>
  <c r="AG58" i="2"/>
  <c r="AG60" i="2"/>
  <c r="D100" i="2" s="1"/>
  <c r="E45" i="2"/>
  <c r="G45" i="2" s="1"/>
  <c r="E44" i="2"/>
  <c r="G44" i="2" s="1"/>
  <c r="E43" i="2"/>
  <c r="G43" i="2" s="1"/>
  <c r="E42" i="2"/>
  <c r="G42" i="2" s="1"/>
  <c r="E41" i="2"/>
  <c r="G41" i="2" s="1"/>
  <c r="E40" i="2"/>
  <c r="G40" i="2" s="1"/>
  <c r="E39" i="2"/>
  <c r="G39" i="2" s="1"/>
  <c r="E38" i="2"/>
  <c r="G38" i="2" s="1"/>
  <c r="E37" i="2"/>
  <c r="G37" i="2" s="1"/>
  <c r="D45" i="2"/>
  <c r="D44" i="2"/>
  <c r="D43" i="2"/>
  <c r="D42" i="2"/>
  <c r="D41" i="2"/>
  <c r="D40" i="2"/>
  <c r="D39" i="2"/>
  <c r="D38" i="2"/>
  <c r="D37" i="2"/>
  <c r="E35" i="2"/>
  <c r="E36" i="2"/>
  <c r="E34" i="2"/>
  <c r="E33" i="2"/>
  <c r="E32" i="2"/>
  <c r="E31" i="2"/>
  <c r="E30" i="2"/>
  <c r="E29" i="2"/>
  <c r="E28" i="2"/>
  <c r="E27" i="2"/>
  <c r="H37" i="2" l="1"/>
  <c r="I37" i="2" s="1"/>
  <c r="H45" i="2"/>
  <c r="I45" i="2" s="1"/>
  <c r="H44" i="2"/>
  <c r="I44" i="2" s="1"/>
  <c r="H38" i="2"/>
  <c r="J38" i="2" s="1"/>
  <c r="N45" i="2" s="1"/>
  <c r="H39" i="2"/>
  <c r="I39" i="2" s="1"/>
  <c r="H41" i="2"/>
  <c r="I41" i="2" s="1"/>
  <c r="H40" i="2"/>
  <c r="I40" i="2" s="1"/>
  <c r="H42" i="2"/>
  <c r="I42" i="2" s="1"/>
  <c r="H43" i="2"/>
  <c r="I43" i="2" s="1"/>
  <c r="F36" i="2"/>
  <c r="G36" i="2" s="1"/>
  <c r="F35" i="2"/>
  <c r="G35" i="2" s="1"/>
  <c r="F34" i="2"/>
  <c r="G34" i="2" s="1"/>
  <c r="F33" i="2"/>
  <c r="G33" i="2" s="1"/>
  <c r="F32" i="2"/>
  <c r="G32" i="2" s="1"/>
  <c r="F31" i="2"/>
  <c r="G31" i="2" s="1"/>
  <c r="F30" i="2"/>
  <c r="G30" i="2" s="1"/>
  <c r="F29" i="2"/>
  <c r="G29" i="2" s="1"/>
  <c r="F28" i="2"/>
  <c r="G28" i="2" s="1"/>
  <c r="F27" i="2"/>
  <c r="G27" i="2" s="1"/>
  <c r="F26" i="2"/>
  <c r="G26" i="2" s="1"/>
  <c r="N25" i="2"/>
  <c r="D36" i="2"/>
  <c r="D35" i="2"/>
  <c r="D34" i="2"/>
  <c r="D33" i="2"/>
  <c r="D32" i="2"/>
  <c r="D31" i="2"/>
  <c r="D30" i="2"/>
  <c r="D29" i="2"/>
  <c r="D28" i="2"/>
  <c r="D27" i="2"/>
  <c r="D26" i="2"/>
  <c r="E24" i="2"/>
  <c r="E23" i="2"/>
  <c r="E22" i="2"/>
  <c r="E21" i="2"/>
  <c r="E20" i="2"/>
  <c r="E19" i="2"/>
  <c r="E18" i="2"/>
  <c r="E17" i="2"/>
  <c r="E16" i="2"/>
  <c r="E15" i="2"/>
  <c r="E14" i="2"/>
  <c r="E13" i="2"/>
  <c r="E12" i="2"/>
  <c r="E11" i="2"/>
  <c r="E10" i="2"/>
  <c r="E9" i="2"/>
  <c r="E8" i="2"/>
  <c r="E7" i="2"/>
  <c r="E6" i="2"/>
  <c r="F25" i="2"/>
  <c r="G25" i="2" s="1"/>
  <c r="F24" i="2"/>
  <c r="F23" i="2"/>
  <c r="F22" i="2"/>
  <c r="F21" i="2"/>
  <c r="F20" i="2"/>
  <c r="F19" i="2"/>
  <c r="F18" i="2"/>
  <c r="F17" i="2"/>
  <c r="F16" i="2"/>
  <c r="F15" i="2"/>
  <c r="F14" i="2"/>
  <c r="F13" i="2"/>
  <c r="F12" i="2"/>
  <c r="F11" i="2"/>
  <c r="F10" i="2"/>
  <c r="F9" i="2"/>
  <c r="F8" i="2"/>
  <c r="F7" i="2"/>
  <c r="D7" i="2"/>
  <c r="D25" i="2"/>
  <c r="D23" i="2"/>
  <c r="D22" i="2"/>
  <c r="D21" i="2"/>
  <c r="D20" i="2"/>
  <c r="D19" i="2"/>
  <c r="D18" i="2"/>
  <c r="D17" i="2"/>
  <c r="D16" i="2"/>
  <c r="D15" i="2"/>
  <c r="D14" i="2"/>
  <c r="D13" i="2"/>
  <c r="D12" i="2"/>
  <c r="D11" i="2"/>
  <c r="D10" i="2"/>
  <c r="D9" i="2"/>
  <c r="D8" i="2"/>
  <c r="D6" i="2"/>
  <c r="H31" i="2" l="1"/>
  <c r="J31" i="2" s="1"/>
  <c r="H30" i="2"/>
  <c r="I30" i="2" s="1"/>
  <c r="G19" i="2"/>
  <c r="H19" i="2" s="1"/>
  <c r="I19" i="2" s="1"/>
  <c r="G23" i="2"/>
  <c r="H23" i="2" s="1"/>
  <c r="I23" i="2" s="1"/>
  <c r="G20" i="2"/>
  <c r="H20" i="2" s="1"/>
  <c r="I20" i="2" s="1"/>
  <c r="G9" i="2"/>
  <c r="H9" i="2" s="1"/>
  <c r="I9" i="2" s="1"/>
  <c r="G10" i="2"/>
  <c r="H10" i="2" s="1"/>
  <c r="I10" i="2" s="1"/>
  <c r="H25" i="2"/>
  <c r="I25" i="2" s="1"/>
  <c r="G7" i="2"/>
  <c r="H7" i="2" s="1"/>
  <c r="I7" i="2" s="1"/>
  <c r="M45" i="2"/>
  <c r="G6" i="2"/>
  <c r="H6" i="2" s="1"/>
  <c r="I6" i="2" s="1"/>
  <c r="G14" i="2"/>
  <c r="H14" i="2" s="1"/>
  <c r="I14" i="2" s="1"/>
  <c r="G22" i="2"/>
  <c r="H22" i="2" s="1"/>
  <c r="I22" i="2" s="1"/>
  <c r="H32" i="2"/>
  <c r="J32" i="2" s="1"/>
  <c r="G11" i="2"/>
  <c r="H11" i="2" s="1"/>
  <c r="I11" i="2" s="1"/>
  <c r="G8" i="2"/>
  <c r="H8" i="2" s="1"/>
  <c r="I8" i="2" s="1"/>
  <c r="G16" i="2"/>
  <c r="H16" i="2" s="1"/>
  <c r="I16" i="2" s="1"/>
  <c r="G24" i="2"/>
  <c r="H24" i="2" s="1"/>
  <c r="I24" i="2" s="1"/>
  <c r="G21" i="2"/>
  <c r="H21" i="2" s="1"/>
  <c r="I21" i="2" s="1"/>
  <c r="G17" i="2"/>
  <c r="H17" i="2" s="1"/>
  <c r="I17" i="2" s="1"/>
  <c r="G12" i="2"/>
  <c r="H12" i="2" s="1"/>
  <c r="I12" i="2" s="1"/>
  <c r="H33" i="2"/>
  <c r="J33" i="2" s="1"/>
  <c r="H34" i="2"/>
  <c r="J34" i="2" s="1"/>
  <c r="G13" i="2"/>
  <c r="H13" i="2" s="1"/>
  <c r="I13" i="2" s="1"/>
  <c r="G18" i="2"/>
  <c r="H18" i="2" s="1"/>
  <c r="I18" i="2" s="1"/>
  <c r="H27" i="2"/>
  <c r="J27" i="2" s="1"/>
  <c r="H35" i="2"/>
  <c r="I35" i="2" s="1"/>
  <c r="H28" i="2"/>
  <c r="J28" i="2" s="1"/>
  <c r="H26" i="2"/>
  <c r="J26" i="2" s="1"/>
  <c r="G15" i="2"/>
  <c r="H15" i="2" s="1"/>
  <c r="I15" i="2" s="1"/>
  <c r="H36" i="2"/>
  <c r="I36" i="2" s="1"/>
  <c r="H29" i="2"/>
  <c r="I29" i="2" s="1"/>
  <c r="M36" i="2" l="1"/>
  <c r="N36" i="2"/>
  <c r="M25" i="2"/>
  <c r="D100" i="3"/>
  <c r="L90" i="3"/>
  <c r="L89" i="3" s="1"/>
  <c r="L18" i="3" s="1"/>
  <c r="D86" i="3" l="1"/>
  <c r="D83" i="3" s="1"/>
  <c r="J64" i="3"/>
  <c r="M86" i="2"/>
  <c r="C98" i="2" s="1"/>
  <c r="B98" i="2" s="1"/>
  <c r="N86" i="2"/>
  <c r="N88" i="2"/>
  <c r="C100" i="2" s="1"/>
  <c r="B100" i="2" s="1"/>
  <c r="K90" i="3"/>
  <c r="K89" i="3" s="1"/>
  <c r="K18" i="3" s="1"/>
  <c r="K17" i="3" s="1"/>
  <c r="E88" i="2"/>
  <c r="E87" i="2"/>
  <c r="M18" i="3" l="1"/>
  <c r="M89" i="3"/>
  <c r="L17" i="3"/>
  <c r="L205" i="3" s="1"/>
  <c r="M90" i="3"/>
  <c r="K205" i="3" l="1"/>
  <c r="M205" i="3" s="1"/>
  <c r="M17" i="3"/>
</calcChain>
</file>

<file path=xl/comments1.xml><?xml version="1.0" encoding="utf-8"?>
<comments xmlns="http://schemas.openxmlformats.org/spreadsheetml/2006/main">
  <authors>
    <author>Автор</author>
  </authors>
  <commentList>
    <comment ref="F43" authorId="0" shapeId="0">
      <text>
        <r>
          <rPr>
            <b/>
            <sz val="9"/>
            <color indexed="81"/>
            <rFont val="Tahoma"/>
            <family val="2"/>
            <charset val="204"/>
          </rPr>
          <t>Автор:</t>
        </r>
        <r>
          <rPr>
            <sz val="9"/>
            <color indexed="81"/>
            <rFont val="Tahoma"/>
            <family val="2"/>
            <charset val="204"/>
          </rPr>
          <t xml:space="preserve">
на разрезе нет толщины песка </t>
        </r>
      </text>
    </comment>
  </commentList>
</comments>
</file>

<file path=xl/comments2.xml><?xml version="1.0" encoding="utf-8"?>
<comments xmlns="http://schemas.openxmlformats.org/spreadsheetml/2006/main">
  <authors>
    <author>Автор</author>
  </authors>
  <commentList>
    <comment ref="AU21" authorId="0" shapeId="0">
      <text>
        <r>
          <rPr>
            <b/>
            <sz val="9"/>
            <color indexed="81"/>
            <rFont val="Tahoma"/>
            <family val="2"/>
            <charset val="204"/>
          </rPr>
          <t>Автор:</t>
        </r>
        <r>
          <rPr>
            <sz val="9"/>
            <color indexed="81"/>
            <rFont val="Tahoma"/>
            <family val="2"/>
            <charset val="204"/>
          </rPr>
          <t xml:space="preserve">
0,5+0,46 + 0,31 - Песок дополнительные слои КДО
</t>
        </r>
      </text>
    </comment>
    <comment ref="F37" authorId="0" shapeId="0">
      <text>
        <r>
          <rPr>
            <b/>
            <sz val="9"/>
            <color indexed="81"/>
            <rFont val="Tahoma"/>
            <family val="2"/>
            <charset val="204"/>
          </rPr>
          <t>Автор:</t>
        </r>
        <r>
          <rPr>
            <sz val="9"/>
            <color indexed="81"/>
            <rFont val="Tahoma"/>
            <family val="2"/>
            <charset val="204"/>
          </rPr>
          <t xml:space="preserve">
0,5+0,46 + 0,31 - Песок дополнительные слои КДО
</t>
        </r>
      </text>
    </comment>
  </commentList>
</comments>
</file>

<file path=xl/sharedStrings.xml><?xml version="1.0" encoding="utf-8"?>
<sst xmlns="http://schemas.openxmlformats.org/spreadsheetml/2006/main" count="1062" uniqueCount="384">
  <si>
    <t>Проезжая часть</t>
  </si>
  <si>
    <t>ТИП 1</t>
  </si>
  <si>
    <t>Тротуары и
 вел. дорожки</t>
  </si>
  <si>
    <t>тип 2</t>
  </si>
  <si>
    <t>тип 4</t>
  </si>
  <si>
    <t>технические тротуры</t>
  </si>
  <si>
    <t>газон</t>
  </si>
  <si>
    <t>ТИП 3</t>
  </si>
  <si>
    <t>РАСЧЕТ СТОИМОСТИ</t>
  </si>
  <si>
    <t>-заполняемые ячейки</t>
  </si>
  <si>
    <t>№ п/п</t>
  </si>
  <si>
    <t xml:space="preserve">Код </t>
  </si>
  <si>
    <t>Наименование</t>
  </si>
  <si>
    <t>Толщина слоя, м</t>
  </si>
  <si>
    <t>Ед. изм.</t>
  </si>
  <si>
    <t xml:space="preserve">Норма расхода </t>
  </si>
  <si>
    <t>Кол-во</t>
  </si>
  <si>
    <t>Цена за единицу, руб. 
(в т.ч. НДС 20%)</t>
  </si>
  <si>
    <t>Общая стоимость, руб. 
(в т.ч. НДС 20%)</t>
  </si>
  <si>
    <t xml:space="preserve">Примечание </t>
  </si>
  <si>
    <t>Материалы</t>
  </si>
  <si>
    <t>СМР</t>
  </si>
  <si>
    <t>Итого</t>
  </si>
  <si>
    <t>I</t>
  </si>
  <si>
    <t xml:space="preserve">Земляные работы </t>
  </si>
  <si>
    <t>м3</t>
  </si>
  <si>
    <t xml:space="preserve">Вертикальная планировка территории (устройство насыпи, выемки)  под отметки благоустройства </t>
  </si>
  <si>
    <t>м2</t>
  </si>
  <si>
    <t>песок мелкозернистый</t>
  </si>
  <si>
    <t xml:space="preserve">в т.ч. откосы </t>
  </si>
  <si>
    <t xml:space="preserve">Погрузка и вывоз грунта на лицензированный полигон (в твердом теле), с предоставлением актов на утилизацию  </t>
  </si>
  <si>
    <t>II</t>
  </si>
  <si>
    <t>Устройство проезжей части (тип 1)</t>
  </si>
  <si>
    <t>тн</t>
  </si>
  <si>
    <t>смесь щебеночно-песчаная фр.0-80</t>
  </si>
  <si>
    <t>в т.ч. откосы</t>
  </si>
  <si>
    <t>в т.ч. откосы и присыпные обочины</t>
  </si>
  <si>
    <t>Укладка геотекстиля, с учетом примыканий</t>
  </si>
  <si>
    <t>геотекстиль иглопробивной плотностью 190 г/м2</t>
  </si>
  <si>
    <t>2.2</t>
  </si>
  <si>
    <t>Установка бортовых камней</t>
  </si>
  <si>
    <t>Установка гранитного бортового камня типа КбртГП6 на бетонном основании В15</t>
  </si>
  <si>
    <t>4100009853</t>
  </si>
  <si>
    <t>камень гранитный КбртГП6</t>
  </si>
  <si>
    <t>камень бортовой железобетонный  БР100.30.18</t>
  </si>
  <si>
    <t>Установка бетонного бортового камня БР100.20.8 на бетонном основании В15 и щебеночном основании (щебень фр.5-10)</t>
  </si>
  <si>
    <t xml:space="preserve">камень бортовой железобетонный  БР100.20.8 </t>
  </si>
  <si>
    <t>Устройство газонов</t>
  </si>
  <si>
    <t xml:space="preserve">Устройство газона с внесением растительного грунта h=0,2 м и посевом семян газонных трав, с учетом ухода </t>
  </si>
  <si>
    <t>Устройство дренажа</t>
  </si>
  <si>
    <t>Устройство тактильных плит</t>
  </si>
  <si>
    <t>В 09.06.01</t>
  </si>
  <si>
    <t>ВСЕГО затрат на выполнение полного комплекса работ:</t>
  </si>
  <si>
    <t xml:space="preserve">Срок производства работ: ____________ календарных дней (указать), Начало и окончание работ: ____________ (указать)
</t>
  </si>
  <si>
    <t>Численность ИТР и рабочих, необходимых для производства работ:  ИТР - ______ чел. (указать), рабочие - ______ чел. (указать)</t>
  </si>
  <si>
    <t>ПРИМЕЧАНИЕ:</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</si>
  <si>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</si>
  <si>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Заказчику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Заказчиком, подготовка и передача Заказчику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Заказчику/подрядчикам,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</si>
  <si>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учтена в стоимости СМР. 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t>
  </si>
  <si>
    <t>Объемы дорожных и благоустроительных работ определены по горизонтальной проекции площади полотна, расход материалов определен с учетом устройства откосов, примыканий, оснований под бортовые камни и т.д. Увеличение объемов работ и расхода материалов на устройство откосов, примыканий, оснований под бортовые камни и т.д. предъявлению и последующей оплате в качестве дополнительных работ не подлежит.</t>
  </si>
  <si>
    <t>Нормы расхода материалов являются фиксированными и изменению не подлежат. Расход материала сверх норм, заложенных в расчете, учтен в стоимости СМР.</t>
  </si>
  <si>
    <t>Производителя, тип, марку оборудования и материалов принимать в строгом соответствии с проектом.</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</si>
  <si>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Рабочей документацией.</t>
  </si>
  <si>
    <t>С особыми условиями, указанными в письме - приглашении на участие в тендере, согласны.</t>
  </si>
  <si>
    <t>С текстом договора подряда ознакомлены и согласны заключить договор на условиях, предложенных Заказчиком  на тендере.</t>
  </si>
  <si>
    <t>Объект посетили, с ситуацией на объекте ознакомлены.</t>
  </si>
  <si>
    <t>газон (откос)</t>
  </si>
  <si>
    <t>ТИП 2</t>
  </si>
  <si>
    <t>газон всего</t>
  </si>
  <si>
    <t xml:space="preserve">Основной ход </t>
  </si>
  <si>
    <t>Ср. ДП</t>
  </si>
  <si>
    <t>Ср. 
план.</t>
  </si>
  <si>
    <t xml:space="preserve">толщина 
КДО </t>
  </si>
  <si>
    <t xml:space="preserve">отм. Дна Корыта </t>
  </si>
  <si>
    <t xml:space="preserve">Ср. ДП -
 отм. Дна Корыта </t>
  </si>
  <si>
    <t>V 
разраб.</t>
  </si>
  <si>
    <t xml:space="preserve">S
</t>
  </si>
  <si>
    <t>м</t>
  </si>
  <si>
    <t>V 
подсыпк.</t>
  </si>
  <si>
    <t>подсыпка</t>
  </si>
  <si>
    <t>разраб.</t>
  </si>
  <si>
    <t>Боковой 2.1</t>
  </si>
  <si>
    <t>ТИП 4</t>
  </si>
  <si>
    <t>ТИП 5</t>
  </si>
  <si>
    <t>ТИП 6</t>
  </si>
  <si>
    <t>ТИП 7</t>
  </si>
  <si>
    <t>ТИП 8</t>
  </si>
  <si>
    <t>Боковой 2.2</t>
  </si>
  <si>
    <t xml:space="preserve"> </t>
  </si>
  <si>
    <t>асфальтобетонная смесь А16Нл по о ГОСТ Р 58406.2-2020 на щебне по ГОСТ 32703-2014 БНД 70/100 отвечающему требованию ГОСТ 33133-2014</t>
  </si>
  <si>
    <t>Установка бетонного бортового камня БР100.30.18 на бетонном основании В15</t>
  </si>
  <si>
    <t>боковой 2.1</t>
  </si>
  <si>
    <t>боковой 2.2</t>
  </si>
  <si>
    <t>Красносельское шоссе</t>
  </si>
  <si>
    <t>под газон</t>
  </si>
  <si>
    <t>проезды тротуары</t>
  </si>
  <si>
    <t>разработка</t>
  </si>
  <si>
    <t>основной ход</t>
  </si>
  <si>
    <t xml:space="preserve">под проезды </t>
  </si>
  <si>
    <t>прс</t>
  </si>
  <si>
    <t xml:space="preserve">подсыпка 
(в зоне газонов) </t>
  </si>
  <si>
    <t xml:space="preserve">подсыпка 
(в зоне проезды и тротуары) </t>
  </si>
  <si>
    <t>ВСЕГО</t>
  </si>
  <si>
    <t>В ЗОНЕ ГАЗОНОВ</t>
  </si>
  <si>
    <t>краснос.
 Шоссе</t>
  </si>
  <si>
    <t>тип 3</t>
  </si>
  <si>
    <t xml:space="preserve">Устройство тротуаров и велодорожек </t>
  </si>
  <si>
    <t>(тип 2)</t>
  </si>
  <si>
    <t>ГАЗОН</t>
  </si>
  <si>
    <t>в зоне проездов и тротуаров</t>
  </si>
  <si>
    <t>м.пог</t>
  </si>
  <si>
    <t>указать цену со знаком "-" !!!</t>
  </si>
  <si>
    <t xml:space="preserve">Проезж. часть 
(основной ход) </t>
  </si>
  <si>
    <t xml:space="preserve">Проезж. часть 
(боковые проезхды) </t>
  </si>
  <si>
    <t>Велосипедная дорожка/тротуар</t>
  </si>
  <si>
    <t>тип 1</t>
  </si>
  <si>
    <t>тип  2</t>
  </si>
  <si>
    <t>тип  3</t>
  </si>
  <si>
    <r>
      <t xml:space="preserve">Велосипедная дорожка/тротуар </t>
    </r>
    <r>
      <rPr>
        <b/>
        <sz val="11"/>
        <color theme="1"/>
        <rFont val="Calibri"/>
        <family val="2"/>
        <charset val="204"/>
        <scheme val="minor"/>
      </rPr>
      <t xml:space="preserve">за красной </t>
    </r>
  </si>
  <si>
    <r>
      <t xml:space="preserve">Велосипедная дорожка/тротуар </t>
    </r>
    <r>
      <rPr>
        <b/>
        <sz val="11"/>
        <color theme="1"/>
        <rFont val="Calibri"/>
        <family val="2"/>
        <charset val="204"/>
        <scheme val="minor"/>
      </rPr>
      <t xml:space="preserve">в красных </t>
    </r>
  </si>
  <si>
    <t xml:space="preserve">Разделительная полоса </t>
  </si>
  <si>
    <t>Технический тротуар</t>
  </si>
  <si>
    <t>* вопрос в итд (сть участок с двойной штриховкой учтен и как тип 1 и как тип 4)</t>
  </si>
  <si>
    <t>Газон</t>
  </si>
  <si>
    <t>Газон (в красных)</t>
  </si>
  <si>
    <t>Газон (за красной)</t>
  </si>
  <si>
    <t>Ср. 
отм.ДП</t>
  </si>
  <si>
    <t>Ср. отм.
планиров.</t>
  </si>
  <si>
    <t xml:space="preserve">отм. дна Корыта </t>
  </si>
  <si>
    <t xml:space="preserve">Ср. 
отм.ДП.-отм. дна Корыта </t>
  </si>
  <si>
    <t>Ср. 
отм.ДП
ТИП 1</t>
  </si>
  <si>
    <t>Ср. отм.
планиров.
ТИП 1</t>
  </si>
  <si>
    <t>-</t>
  </si>
  <si>
    <t>Ср. 
отм.ДП
ТИП 2</t>
  </si>
  <si>
    <t>Ср. отм.
планиров.
ТИП 2</t>
  </si>
  <si>
    <t>Разделительная полоса</t>
  </si>
  <si>
    <t xml:space="preserve">V 
разработки </t>
  </si>
  <si>
    <t>Ср. 
отм.ДП
ТИП 3</t>
  </si>
  <si>
    <t>Ср. отм.
планиров.
ТИП 3</t>
  </si>
  <si>
    <t>Ср. 
отм.ДП
ТИП **</t>
  </si>
  <si>
    <t>Ср. отм.
планиров.
ТИП **</t>
  </si>
  <si>
    <t>Ср. 
отм.ДП
ТИП 4</t>
  </si>
  <si>
    <t>Ср. отм.
планиров.
ТИП 4</t>
  </si>
  <si>
    <t>Ср. 
отм.ДП
газон</t>
  </si>
  <si>
    <t>Ср. отм.
планиров.
Газон</t>
  </si>
  <si>
    <t>9,8810,07</t>
  </si>
  <si>
    <t>Устройство засыпки из щебня М1000 фр. 5-8 мм</t>
  </si>
  <si>
    <t>щебень гранитный фр. 5-8</t>
  </si>
  <si>
    <t>Демонтаж бортового камня, вывоз демонтируемого материала на специализированный полигон с предоставлением актов на утилизацию</t>
  </si>
  <si>
    <t>Наименование организации: ________________________</t>
  </si>
  <si>
    <t>ИНН __________________</t>
  </si>
  <si>
    <t>Дата подачи коммерческого предложения: "____ " __________ 2024 г.</t>
  </si>
  <si>
    <t xml:space="preserve">Подготовительные работы </t>
  </si>
  <si>
    <t>демонтаж древесины</t>
  </si>
  <si>
    <t>Устройство проезжей части (тип 2)</t>
  </si>
  <si>
    <t>Установка ограждения</t>
  </si>
  <si>
    <t>Устройство нижнего слоя из асфальтобетона А32Нн по ГОСТ Р 58406.2-2020 на  щебне по ГОСТ 32703-2014 и битуме БНД 70/100 отвечающему требованию ГОСТ 33133-2014, с учетом обработки битумом</t>
  </si>
  <si>
    <t>асфальтобетонная смесь А32Нн по о ГОСТ Р 58406.2-2020 на щебне по ГОСТ 32703-2014 и битуме БНД 70/100 отвечающему требованию ГОСТ 33133-2014</t>
  </si>
  <si>
    <t>Устройство основания из ЩПС с максимальным размером зерен 80мм (смесь непрерывной гранулометрии С4 по ГОСТ 25607-2009)</t>
  </si>
  <si>
    <t xml:space="preserve">Устройство основания из песка мелкого по ГОСТ 8736-2014, класс II, К ф&gt;3 м/сут с трамбовкой </t>
  </si>
  <si>
    <t>асфальтобетонная смесь А11Вл по ГОСТ 58406.2-2020 на  щебне по ГОСТ 32703-2014 и битуме БНД 70/100 отвечающему требованию ГОСТ 33133-2014</t>
  </si>
  <si>
    <t>Устройство тротуаров (тип 3)</t>
  </si>
  <si>
    <t>Устройство верхнего слоя из асфальтобетона А11Вл по ГОСТ 58406.2-2020 на щебне по ГОСТ 32703-2014 и битуме БНД 70/100 отвечающему требованию ГОСТ 33133-2014, с учетом обработки битумом</t>
  </si>
  <si>
    <t>Устройство нижнего слоя из асфальтобетона А16Нл по ГОСТ Р 58406.2-2020 на щебне по ГОСТ 32703-2014 и битуме БНД 70/100 отвечающему требованию ГОСТ 33133-2014, с учетом обработки битумом</t>
  </si>
  <si>
    <t>Устройство основания из ЩПС с максимальным размером зерен 80мм (смесь непрерывной гранулометрии С4 по ГОСТ 25607-2009</t>
  </si>
  <si>
    <t xml:space="preserve">Устройство основания из песка мелкого по ГОСТ 8736-2014, класс II, К ф&gt;3м/сут с трамбовкой </t>
  </si>
  <si>
    <t>м. пог.</t>
  </si>
  <si>
    <t>Комплекс работ по установке перильного ограждения типа "крест"</t>
  </si>
  <si>
    <t>Установка тактильных плит 300х300 с продольными рифами на полиуретановом клею</t>
  </si>
  <si>
    <t>2.1</t>
  </si>
  <si>
    <t>Укладка гибкой дренажной перфорированной полиэтиленовой трубы d=110мм в обертке из геотекстиля</t>
  </si>
  <si>
    <t xml:space="preserve">Демонтаж сущ. металлического ограждения, погрузка, вывоз демонтируемого материала на специализированный полигон </t>
  </si>
  <si>
    <t>1.1</t>
  </si>
  <si>
    <t xml:space="preserve">Устройство рабочего слоя из песка мелкого  ГОСТ 8736-2014, класс II, К ф&gt;0,5 м/сут с трамбовкой </t>
  </si>
  <si>
    <t>1.2</t>
  </si>
  <si>
    <t>1.3</t>
  </si>
  <si>
    <t>1.4</t>
  </si>
  <si>
    <t>2.3</t>
  </si>
  <si>
    <t>2.4</t>
  </si>
  <si>
    <t>Этап I</t>
  </si>
  <si>
    <t>Укладка армирующей георешетки</t>
  </si>
  <si>
    <t>двуосноориентированная георешетка с размером ячеек 40х40 мм</t>
  </si>
  <si>
    <t>геотекстиль Тайпар SF-56</t>
  </si>
  <si>
    <t>Устройство верхнего слоя из асфальтобетона А16Вн по ГОСТ Р 58406.1-2020 на щебне по ГОСТ 32703-2014 и БНД 70/100 по ГОСТ  33133-2014, с учетом обработки битумом</t>
  </si>
  <si>
    <t>асфальтобетон А16Вн по ГОСТ Р 58406.1-2020 на щебне по ГОСТ 32703-2014 и БНД 70/100 по ГОСТ 33133-2014</t>
  </si>
  <si>
    <t>4100008425/ 4100024894</t>
  </si>
  <si>
    <t>Щебень гранитный фр.40-70</t>
  </si>
  <si>
    <t>Щебень гранитный фр.10-20</t>
  </si>
  <si>
    <t>4100008427/ 4100024892</t>
  </si>
  <si>
    <t>Подготовка основания из щебня гранитного М1200 фр.40-70 мм с трамбовкой и расклинцовкой щебнем гранитным фр.10-20 мм</t>
  </si>
  <si>
    <t>асфальтобетон горячий пористый крупнозернистый марки 1 на вязком битуме БНД 60/90 ГОСТ 9128-2013</t>
  </si>
  <si>
    <t>Устройство нижнего слоя из асфальтобетона горячего плотного крупнозернистого тип Б марки 1 на вязком битуме БНД 60/90 по ГОСТ 9128-2013, с учетом обработки битумом</t>
  </si>
  <si>
    <t>асфальтобетон горячий плотный крупнозернистый тип Б марки 1 на вязком битуме БНД 60/90 ГОСТ 9128-2013</t>
  </si>
  <si>
    <t>Устройство верхнего слоя из асфальтобетона горячего плотного мелкозернистого тип А марки 1 на вязком битуме БДУ 70/100 по ГОСТ 9128-2013, с учетом обработки битумом</t>
  </si>
  <si>
    <t xml:space="preserve">асфальтобетон горячий плотный мелкозернистый тип А марки 1 на вязком битуме БДУ 70/100 ГОСТ 9128-2013 </t>
  </si>
  <si>
    <t xml:space="preserve">Устройство верхнего слоя из асфальтобетона горячего плотного тип Г марки 2 по ГОСТ 9128-2013, с учетом обработки битумом </t>
  </si>
  <si>
    <t>асфальтобетон горячий плотный тип Г марки 2 по ГОСТ 9128-2013</t>
  </si>
  <si>
    <t>Устройство нижнего слоя из асфальтобетона песчаного высокопористого марки 2 по ГОСТ 9128-2013, с учетом обработки битумом</t>
  </si>
  <si>
    <t>Асфальтобетон песчаный высокопористый марки 2 по ГОСТ 9128-2013</t>
  </si>
  <si>
    <t>Устройство верхнего слоя из щебеночно-мастичного асфальтобетона ЩМА-20 по ГОСТ 31015-2002 на габродиабазовом щебне по ГОСТ 32703-2014 и ПБВ 60 ГОСТ Р 52056-2003, с учетом обработки битумом</t>
  </si>
  <si>
    <t xml:space="preserve">щебеночно-мастичный асфальтобетон ЩМА-20 по ГОСТ 31015-2002 на габбро-диабазовом щебне по ГОСТ 32703-2014 и ПБВ 60 ГОСТ Р 52056-2003 </t>
  </si>
  <si>
    <t>Устройство верхнего слоя а/б покрытия проезжей части</t>
  </si>
  <si>
    <t>Устройство верхнего слоя а/б покрытия тротуара</t>
  </si>
  <si>
    <t>Установка гранитного бортового камня типа КбртГП2 на бетонном основании В15</t>
  </si>
  <si>
    <t>камень гранитный КбртГП2</t>
  </si>
  <si>
    <t>Установка гранитного бортового камня типа КбртГП1 на бетонном основании В15</t>
  </si>
  <si>
    <t>камень гранитный КбртГП1</t>
  </si>
  <si>
    <r>
      <t xml:space="preserve">  выполнения полного комплекса работ по строительству автомобильной дороги - </t>
    </r>
    <r>
      <rPr>
        <b/>
        <sz val="20"/>
        <color rgb="FFFF0000"/>
        <rFont val="Times New Roman"/>
        <family val="1"/>
        <charset val="204"/>
      </rPr>
      <t>ОБЩЕПРОЕКТНЫЕ РАБОТЫ</t>
    </r>
  </si>
  <si>
    <t xml:space="preserve">объект: "Боковой проезд вдоль Парашютной ул. от земельного участка с кад. №78:34:0004281:10641 до пересечения с ул. Лидии Зверевой с обустройством перекрестка и организацией на нем светофорного регулирования:
 Этап строительства №1:Транспортное пересечение ул. Л. Зверевой и Парашютной ул.
Этап строительства №2: Местный проезд вдоль Парашютнойулицы на участке от ул. Л. Зверевой до Плесецкой ул." </t>
  </si>
  <si>
    <t>Установка тактильных плит 500х500 с рифами типа усеченных конусов на полиуретановом клею</t>
  </si>
  <si>
    <t>Установка тактильных плит 180х300 с продольными рифами на полиуретановом клею</t>
  </si>
  <si>
    <t xml:space="preserve">Остановочный павильон </t>
  </si>
  <si>
    <t>шт.</t>
  </si>
  <si>
    <t>Комплекс работ по установке остановочных павильонов ООО «ФАВОР-ГАРАНТ» тип «Городской» Стандарт, с учетом устройства фундаментов и монтажа закладных деталей</t>
  </si>
  <si>
    <t>Установка урны для мусора</t>
  </si>
  <si>
    <t xml:space="preserve">Демонтаж остановки 6,72x1,7x2,6(h) , погрузка, вывоз демонтируемого материала на специализированный полигон </t>
  </si>
  <si>
    <t xml:space="preserve"> ≈ 0,45 т</t>
  </si>
  <si>
    <t xml:space="preserve"> ≈ 0,73 т</t>
  </si>
  <si>
    <t>Этап II</t>
  </si>
  <si>
    <t>БР 100.30.18 - 102,8 м.п.;
КбртГП1 - 420,3 м.п.;</t>
  </si>
  <si>
    <t>Фрезерование а/б покрытия тротуара t = 0,04 м., вывоз демонтируемого материала на специализированный полигон с предоставлением актов на утилизацию</t>
  </si>
  <si>
    <t>Фрезерование а/б покрытия проезжей части t = 0,05 м., вывоз демонтируемого материала на специализированный полигон с предоставлением актов на утилизацию</t>
  </si>
  <si>
    <t>Демонтаж а/б покрытия, в т.ч. подломка кромки сущ. покрытий t = 0,08 - 0,23 м, вывоз демонтируемого материала на специализированный полигон с предоставлением актов на утилизацию</t>
  </si>
  <si>
    <t>тротуар ср.t = 0,08 м. - 1064,7 м2;
проезжая часть ср.t = 0,23 м. - 165,5 м2;
въезд ср.t = 0,16 м - 168,8 м2
подломка кромки ср.t = 0,18 м. - 146,74</t>
  </si>
  <si>
    <t>Пересечение ул. Л. Зверевой и Парашютной ул.</t>
  </si>
  <si>
    <t>Временный проезд</t>
  </si>
  <si>
    <t>1.5</t>
  </si>
  <si>
    <t>1.6</t>
  </si>
  <si>
    <t>1.7</t>
  </si>
  <si>
    <t>1.8</t>
  </si>
  <si>
    <t>1.9</t>
  </si>
  <si>
    <t>1.10</t>
  </si>
  <si>
    <t>1.11</t>
  </si>
  <si>
    <t>1.12</t>
  </si>
  <si>
    <t>1.13</t>
  </si>
  <si>
    <t>1.14</t>
  </si>
  <si>
    <t>Компенсация остаточной стоимости демонтированных металлоконструкций (по п.1.5 и п.1.6), с предоставлением актов сдачи-приемки лома черных металлов на переработку</t>
  </si>
  <si>
    <t>Установка тактильных плит 500х500 с продольными рифами на полиуретановом клею</t>
  </si>
  <si>
    <t>Боковой проезд вдоль ул. Парашютная</t>
  </si>
  <si>
    <t>в т.ч. примыкание к существующей дорожной одежде</t>
  </si>
  <si>
    <t>1.1.1</t>
  </si>
  <si>
    <t>1.1.2</t>
  </si>
  <si>
    <t>1.1.3</t>
  </si>
  <si>
    <t>1.1.4</t>
  </si>
  <si>
    <t>1.1.5</t>
  </si>
  <si>
    <t>1.1.6</t>
  </si>
  <si>
    <t>1.1.7</t>
  </si>
  <si>
    <t>Устройство верхнего слоя из асфальтобетона А16Вн по ГОСТ Р 58406.2-2020 на щебне по ГОСТ 32703-2014 и БНД 70/100 по ГОСТ  33133-2014, с учетом обработки битумом</t>
  </si>
  <si>
    <t>асфальтобетон А16Вн по ГОСТ Р 58406.2-2020 на щебне по ГОСТ 32703-2014 и БНД 70/100 по ГОСТ 33133-2014</t>
  </si>
  <si>
    <t>геотекстиль 190 г/м2</t>
  </si>
  <si>
    <t>1.3.1</t>
  </si>
  <si>
    <t>1.3.1.1</t>
  </si>
  <si>
    <t>1.3.2</t>
  </si>
  <si>
    <t>1.3.2.1</t>
  </si>
  <si>
    <t>1.3.3</t>
  </si>
  <si>
    <t>1.3.3.1</t>
  </si>
  <si>
    <t>1.3.4</t>
  </si>
  <si>
    <t>1.3.4.1</t>
  </si>
  <si>
    <t>1.3.5</t>
  </si>
  <si>
    <t>1.3.5.1</t>
  </si>
  <si>
    <t>1.3.6</t>
  </si>
  <si>
    <t>1.3.6.1</t>
  </si>
  <si>
    <t>1.3.7</t>
  </si>
  <si>
    <t>1.3.7.1</t>
  </si>
  <si>
    <t>1.4.1</t>
  </si>
  <si>
    <t>1.4.4</t>
  </si>
  <si>
    <t>1.4.7</t>
  </si>
  <si>
    <t>1.4.1.1</t>
  </si>
  <si>
    <t>1.4.2</t>
  </si>
  <si>
    <t>1.4.3</t>
  </si>
  <si>
    <t>1.4.2.1</t>
  </si>
  <si>
    <t>1.4.4.1</t>
  </si>
  <si>
    <t>1.4.3.1</t>
  </si>
  <si>
    <t>1.4.5</t>
  </si>
  <si>
    <t>1.4.5.1</t>
  </si>
  <si>
    <t>1.4.6</t>
  </si>
  <si>
    <t>1.4.6.1</t>
  </si>
  <si>
    <t>1.4.6.2</t>
  </si>
  <si>
    <t>1.4.7.1</t>
  </si>
  <si>
    <t>1.4.8</t>
  </si>
  <si>
    <t>1.4.8.1</t>
  </si>
  <si>
    <t>4100013286</t>
  </si>
  <si>
    <t>Демонтаж а/б покрытия сущ. покрытий t = 0,08 - 0,16 м, вывоз демонтируемого материала на специализированный полигон с предоставлением актов на утилизацию</t>
  </si>
  <si>
    <t>тротуар ср.t = 0,08 м. - 359 м2;
проезжая часть ср.t = 0,16 м. - 507 м2;</t>
  </si>
  <si>
    <t xml:space="preserve"> ≈ 0,28 т</t>
  </si>
  <si>
    <r>
      <rPr>
        <b/>
        <sz val="14"/>
        <rFont val="Times New Roman"/>
        <family val="1"/>
        <charset val="204"/>
      </rPr>
      <t xml:space="preserve">Подрядчик обязан предоставить Заказчику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Заказчиком или предоставление банковской гарантии на сумму контракта </t>
    </r>
    <r>
      <rPr>
        <b/>
        <sz val="14"/>
        <color rgb="FFFF0000"/>
        <rFont val="Times New Roman"/>
        <family val="1"/>
        <charset val="204"/>
      </rPr>
      <t>(указать нужное).</t>
    </r>
  </si>
  <si>
    <t>БР 100.30.18 - 141,6 м.п.;
КбртГП1 - 55,4 м.п.;</t>
  </si>
  <si>
    <t>Демонтаж  покрытия из бетонных плит tср = 0,2 м., погрузка, вывоз демонтируемого материала на специализированный полигон с предоставлением актов на утилизацию</t>
  </si>
  <si>
    <t>Устройство засыпки из щебня М1000 фр. 5-10 мм</t>
  </si>
  <si>
    <t>щебень гранитный фр. 5-10</t>
  </si>
  <si>
    <t>Устройство верхнего слоя из асфальтобетона А16Вл по ГОСТ Р 58406.2-2020 на щебне по ГОСТ 32703-2014 и БНД 70/100 по ГОСТ  33133-2014, с учетом обработки битумом</t>
  </si>
  <si>
    <t>асфальтобетон А16Вл по ГОСТ Р 58406.2-2020 на щебне по ГОСТ 32703-2014 и БНД 70/100 по ГОСТ 33133-2014</t>
  </si>
  <si>
    <t>Устройство технического тротуара (тип 2)</t>
  </si>
  <si>
    <t>Тротуар (тип 3)</t>
  </si>
  <si>
    <t>1.5.1</t>
  </si>
  <si>
    <t>1.5.1.1</t>
  </si>
  <si>
    <t>1.5.2</t>
  </si>
  <si>
    <t>1.5.2.1</t>
  </si>
  <si>
    <t>1.5.3</t>
  </si>
  <si>
    <t>1.5.3.1</t>
  </si>
  <si>
    <t>1.5.4</t>
  </si>
  <si>
    <t>1.5.4.1</t>
  </si>
  <si>
    <t>1.5.5</t>
  </si>
  <si>
    <t>1.5.5.1</t>
  </si>
  <si>
    <t>плитка "кирпич" размером 200х100х60</t>
  </si>
  <si>
    <t>Устройство покрытия из бетонной плитки, толщ. 60 мм, по основанию из песка мелкозернистого, стабилизированного цементом 1:3</t>
  </si>
  <si>
    <t>Устройство основания из ЩПС с максимальным размером зерен 80мм (смесь непрерывной гранулометрии С5 по ГОСТ 25607-2009)</t>
  </si>
  <si>
    <t>1.2.1</t>
  </si>
  <si>
    <t>1.2.2</t>
  </si>
  <si>
    <t>1.6.1</t>
  </si>
  <si>
    <t>1.6.1.1</t>
  </si>
  <si>
    <t>1.8.1.1</t>
  </si>
  <si>
    <t>1.6.2</t>
  </si>
  <si>
    <t>1.6.2.1</t>
  </si>
  <si>
    <t>1.6.3</t>
  </si>
  <si>
    <t>1.6.3.1</t>
  </si>
  <si>
    <t>1.6.4</t>
  </si>
  <si>
    <t>1.6.4.1</t>
  </si>
  <si>
    <t>1.7.1</t>
  </si>
  <si>
    <t>1.8.1</t>
  </si>
  <si>
    <t>1.8.2</t>
  </si>
  <si>
    <t>1.8.3</t>
  </si>
  <si>
    <t>1.8.3.1</t>
  </si>
  <si>
    <t>1.9.1</t>
  </si>
  <si>
    <t>1.10.1</t>
  </si>
  <si>
    <t>4100014838</t>
  </si>
  <si>
    <r>
      <t xml:space="preserve">РД шифр 1903/2021-УДС-02-АД-6 </t>
    </r>
    <r>
      <rPr>
        <sz val="12"/>
        <color rgb="FFFF0000"/>
        <rFont val="Times New Roman"/>
        <family val="1"/>
        <charset val="204"/>
      </rPr>
      <t>не утвержденная "в производство работ"</t>
    </r>
  </si>
  <si>
    <r>
      <t>- демонтаж временного дорожного покрытия (плиты дорожные, основание), складирование плит на территории строительной площадки (перемещение по месту в пределах 500м), демонтаж участков временного ограждения строительной площадки (жб секции, профлист) с участков производства работ, по завершению комплекса работ - восстановление временных дорог, монтаж демонтированных участков временного ограждения строительной площадки (при необходимости);</t>
    </r>
    <r>
      <rPr>
        <sz val="14"/>
        <rFont val="Times New Roman"/>
        <family val="1"/>
        <charset val="204"/>
      </rPr>
      <t xml:space="preserve">
- выборка, погрузка и вывоз остаточных инженерных сетей и ж/б элементов, находящихся в толще грунтов в зоне производства работ (в случае необходимости);
 - затраты на уход (полив, покос травяного покрова) зеленых насаждений в течении аграрного периода по согласованию с Заказчиком (к моменту сдачи объекта на газоне должен быть ровный травяной покров без проплешин и размывов); 
- антикоррозийная защита (огрунтовка и окраска) металлоконструкций;
- валка деревьев с разделкой стволов и ветвей, с корчевкой пней и корней, с погрузкой и вывозом на полигон (при необходимости);
</t>
    </r>
    <r>
      <rPr>
        <b/>
        <sz val="14"/>
        <rFont val="Times New Roman"/>
        <family val="1"/>
        <charset val="204"/>
      </rPr>
      <t xml:space="preserve">- затраты на эксплуатацию Подрядчиком своими силами и за свой счет результата выполненных работ (смонтированных систем и оборудования) до момента ввода Объекта в эксплуатацию и передачи результата работ профильному монополисту (либо иному лицу, принимающему созданное по Договору имущество на баланс) и эксплуатирующей организации; 
</t>
    </r>
    <r>
      <rPr>
        <sz val="14"/>
        <rFont val="Times New Roman"/>
        <family val="1"/>
        <charset val="204"/>
      </rPr>
      <t>- затраты на передачу, совместно с Заказчиком, на баланс созданного объекта благоустройства (автомобильной дороги);</t>
    </r>
  </si>
  <si>
    <r>
      <t xml:space="preserve">Основание: РД шифр 1903/2021-УДС-01-АД, </t>
    </r>
    <r>
      <rPr>
        <sz val="12"/>
        <color rgb="FFFF0000"/>
        <rFont val="Times New Roman"/>
        <family val="1"/>
        <charset val="204"/>
      </rPr>
      <t>не утвержденная "в производство работ"</t>
    </r>
  </si>
  <si>
    <t>1.7.1.1</t>
  </si>
  <si>
    <t>1.9.2</t>
  </si>
  <si>
    <t>1.9.1.1</t>
  </si>
  <si>
    <t>1.9.2.1</t>
  </si>
  <si>
    <t>1.9.3</t>
  </si>
  <si>
    <t>1.9.3.1</t>
  </si>
  <si>
    <t>1.9.4</t>
  </si>
  <si>
    <t>1.9.4.1</t>
  </si>
  <si>
    <t>1.9.5</t>
  </si>
  <si>
    <t>1.9.5.1</t>
  </si>
  <si>
    <t>1.11.1</t>
  </si>
  <si>
    <t>1.13.1</t>
  </si>
  <si>
    <t>1.11.1.1</t>
  </si>
  <si>
    <t>1.11.2</t>
  </si>
  <si>
    <t>1.11.3</t>
  </si>
  <si>
    <t>1.11.3.1</t>
  </si>
  <si>
    <t>1.14.1</t>
  </si>
  <si>
    <t>1.14.2</t>
  </si>
  <si>
    <t>1.12.1</t>
  </si>
  <si>
    <t>1.12.2</t>
  </si>
  <si>
    <t>1.12.3</t>
  </si>
  <si>
    <t>1.12.4</t>
  </si>
  <si>
    <t>2.4.1</t>
  </si>
  <si>
    <t>2.3.1</t>
  </si>
  <si>
    <t>2.3.1.1</t>
  </si>
  <si>
    <t>2.1.1</t>
  </si>
  <si>
    <t>2.1.2</t>
  </si>
  <si>
    <t>2.2.1</t>
  </si>
  <si>
    <t>2.2.1.1</t>
  </si>
  <si>
    <t>2.2.2</t>
  </si>
  <si>
    <t>2.2.2.1</t>
  </si>
  <si>
    <t>2.2.3</t>
  </si>
  <si>
    <t>2.2.3.1</t>
  </si>
  <si>
    <t>2.2.4</t>
  </si>
  <si>
    <t>2.2.4.1</t>
  </si>
  <si>
    <t>2.2.5</t>
  </si>
  <si>
    <t>2.2.5.1</t>
  </si>
  <si>
    <t>2.2.6</t>
  </si>
  <si>
    <t>2.2.6.1</t>
  </si>
  <si>
    <r>
      <t xml:space="preserve">- подготовка и передача Заказчику полного комплекта исполнительной документации, оформленной надлежащим образом и подписанной у заинтересованных лиц, а также иной технической документации, согласно СНиП и требований, необходимой для ввода в эксплуатацию и дальнейшей эксплуатации результата выполненных работ и передачи на баланс городу, в хоз. ведение сетевому предприятию, в районую эксплуатирующую организацию;
</t>
    </r>
    <r>
      <rPr>
        <b/>
        <sz val="14"/>
        <rFont val="Times New Roman"/>
        <family val="1"/>
        <charset val="204"/>
      </rPr>
      <t>- подготовка и передача Заказчику технического паспорта автомобильных дорог в электронном виде и на бумажном носителе, в соответствии с техническим заданием Комитета по благоустройству (для дорог, расположенных в пределах административных границ Санкт-Петербурга);</t>
    </r>
    <r>
      <rPr>
        <sz val="14"/>
        <rFont val="Times New Roman"/>
        <family val="1"/>
        <charset val="204"/>
      </rPr>
      <t xml:space="preserve">
- образователем ТКО, строительных отходов, отходов демонтажа и грунта, образовавшихся при производстве работ, а также лицом, обязанным вносить плату за негативное воздействие на окружающую среду, согласно ст. 16.1 ФЗ от 10.01.2002 №7-ФЗ (ред. от 29.07.2017) "Об охране окружающей среды", является Подрядчик;
- Подрядчик осуществляет погрузку и вывоз грунта на объекты  утилизации отходов грунта согласно утвержденного перечня (приложение "Перечень объектов, осуществляющих прием отходов грунта");
- подготовка и передача Заказчику полного комплекта природоохранной документации по обращению с отходами (копии): акты сдачи-приемки отходов;паспорта и протоколы на отходы, транспортные накладные, журнал учета образования отходов по приказу № 1028; стат.отчетность по форме 2-ТП (отходы) ; Декларация НВОС;
- ответственность за соблюдение природоохранного законодательства РФ возлагается на Подрядчика,</t>
    </r>
  </si>
  <si>
    <t xml:space="preserve">ПОС  </t>
  </si>
  <si>
    <t>Организация строительной площадки (устройство временных ограждений строительной площадки, в т.ч. ворота и калитки; устройство временных дорог и площадок (земляные работы, подготовка из сыпучих материалов, ж/б плиты); устройство постов мойки колес (в необходимом количестве); временные здания и сооружения) с последующим демонтажом и вывозом всех элементов ПОС</t>
  </si>
  <si>
    <t>комплекс</t>
  </si>
  <si>
    <t xml:space="preserve">Для полного комплекса работ по устройству 
УДС этап 1 и этап 2
в т.ч.  по устройству сетей НО, НВК, СО, ТСОДД 
</t>
  </si>
  <si>
    <t>1</t>
  </si>
  <si>
    <t>III</t>
  </si>
  <si>
    <r>
      <rPr>
        <b/>
        <sz val="14"/>
        <rFont val="Times New Roman"/>
        <family val="1"/>
        <charset val="204"/>
      </rPr>
      <t>Расчетом учтены все условия и требования, необходимые для выполнения полного комплекса работ "под ключ", в том числе:</t>
    </r>
    <r>
      <rPr>
        <sz val="14"/>
        <rFont val="Times New Roman"/>
        <family val="1"/>
        <charset val="204"/>
      </rPr>
      <t xml:space="preserve">
- выполнение всего комплекса работ, указанных в рабочей документации, и сопутствующие работы требуемые для ввода объекта в эксплуатацию и последующей передачи Комитету имущественных отношений и эксплуатирующей компании;
- организация строительного производства в соответствии со СНиП 12-03-2001 "Безопасность труда в строительстве";
- планировка (в т.ч. выемка, насыпь, погрузка, перемещение) и уплотнение грунта под основание конструкций дорожных одежд, планировка территории; 
- устройство разметки проездов, площадок (при необходимости);
- подъем крышек люков инженерных коммуникаций, необходимый для их выведения в проектные отметки;
- устройство зон пониженного бортового камня в соответствии с проектом;
- проведение всех необходимых мероприятий по водопонижению на период производства работ, в т.ч. устройство зумпфов для водоотведения (при необходимости);
- шурфовка мест пересечек и подвешивание коммуникаций в случае пересечек с существующими коммуникациями;
- восстановление поврежденных коммуникаций в случае возникновения аварийной ситуации;
- мероприятия по сохранности инженерных сетей и строительных конструкций в зоне производства работ;
- получение и оплата всех необходимых разрешений, согласований, испытаний, необходимых для производства работ и сдачи в эксплуатацию (в т.ч. получение ордера и распоряжения ГАТИ, Акта УСПХ и порубочного билета на снос зеленых насаждений, сдача в СГСНиЭ СПб, Комитет по благоустройству);
- применение временного инвентарного ограждения зоны производства работ, разработка схемы ОДД и ее реализация (выставление ограждения и знаков согласно схемы) 
- участие в сдаче результата выполненных работ по комплексному благоустройству заинтересованным организациям и в случае появления замечаний устранение их за свой счёт;
- фрезеровка и устройство шва между существующими полосами проезжей части и вновь устраиваемыми (при необходимости);
- демонтаж существующих конструкций благоустройства с последующим восстановлением (при необходимости);
- выполнение комплекса работ по гидроизоляции, тампонажу, герметизации стыков кабельных колодцев и кабельных вводов (при необходимости);
</t>
    </r>
    <r>
      <rPr>
        <sz val="14"/>
        <color rgb="FFFF0000"/>
        <rFont val="Times New Roman"/>
        <family val="1"/>
        <charset val="204"/>
      </rPr>
      <t xml:space="preserve">
</t>
    </r>
  </si>
  <si>
    <t>Компенсация остаточной стоимости демонтированных металлоконструкций (по п.1.1.5 и п1.1.6), с предоставлением актов сдачи-приемки лома черных металлов на переработку</t>
  </si>
  <si>
    <r>
      <rPr>
        <b/>
        <sz val="11"/>
        <color rgb="FFFF0000"/>
        <rFont val="Times New Roman"/>
        <family val="1"/>
        <charset val="204"/>
      </rPr>
      <t>ДАВАЛЬЧЕСКИЙ МАТЕРИАЛ</t>
    </r>
    <r>
      <rPr>
        <sz val="11"/>
        <rFont val="Times New Roman"/>
        <family val="1"/>
        <charset val="204"/>
      </rPr>
      <t xml:space="preserve">
растительный грунт предоставляется ООО "Сэтл Строй";
Учесть погрузку, перевозку из отвала на расстояние до 2 км</t>
    </r>
  </si>
  <si>
    <t>в т.ч. соединительные муфты, заглушки и т.д</t>
  </si>
  <si>
    <r>
      <rPr>
        <b/>
        <sz val="12"/>
        <rFont val="Times New Roman"/>
        <family val="1"/>
        <charset val="204"/>
      </rPr>
      <t>Устройство нижнего слоя из асфальтобетона горячего пористого крупнозернистого</t>
    </r>
    <r>
      <rPr>
        <b/>
        <sz val="12"/>
        <color rgb="FF0070C0"/>
        <rFont val="Times New Roman"/>
        <family val="1"/>
        <charset val="204"/>
      </rPr>
      <t xml:space="preserve"> </t>
    </r>
    <r>
      <rPr>
        <b/>
        <sz val="12"/>
        <rFont val="Times New Roman"/>
        <family val="1"/>
        <charset val="204"/>
      </rPr>
      <t>на вязком битуме БНД 60/90 по ГОСТ 9128-2013, с учетом обработки битумом</t>
    </r>
  </si>
  <si>
    <t>Восстановление тротуара (тип 4)</t>
  </si>
  <si>
    <t xml:space="preserve">Устройство основания из песка среднего  по ГОСТ 8736-2014, класс II, К ф&gt;3м/сут с трамбовкой </t>
  </si>
  <si>
    <t>песок среднезернистый</t>
  </si>
  <si>
    <r>
      <t>В расчёте стоимости учтены генподрядные услуги в размере 0</t>
    </r>
    <r>
      <rPr>
        <b/>
        <sz val="14"/>
        <color rgb="FFFF0000"/>
        <rFont val="Times New Roman"/>
        <family val="1"/>
        <charset val="204"/>
      </rPr>
      <t xml:space="preserve"> %</t>
    </r>
    <r>
      <rPr>
        <b/>
        <sz val="14"/>
        <rFont val="Times New Roman"/>
        <family val="1"/>
        <charset val="204"/>
      </rPr>
      <t xml:space="preserve"> от общей стоимости выполняемых Подрядчиком работ.</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</si>
</sst>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4" formatCode="_-* #,##0.00\ &quot;₽&quot;_-;\-* #,##0.00\ &quot;₽&quot;_-;_-* &quot;-&quot;??\ &quot;₽&quot;_-;_-@_-"/>
    <numFmt numFmtId="164" formatCode="_-* #,##0.00_р_._-;\-* #,##0.00_р_._-;_-* &quot;-&quot;??_р_._-;_-@_-"/>
    <numFmt numFmtId="165" formatCode="_-* #,##0.00\ _₽_-;\-* #,##0.00\ _₽_-;_-* &quot;-&quot;??\ _₽_-;_-@_-"/>
    <numFmt numFmtId="166" formatCode="0.0000"/>
    <numFmt numFmtId="167" formatCode="0.0"/>
    <numFmt numFmtId="168" formatCode="_-* #,##0.00&quot;р.&quot;_-;\-* #,##0.00&quot;р.&quot;_-;_-* &quot;-&quot;??&quot;р.&quot;_-;_-@_-"/>
    <numFmt numFmtId="169" formatCode="0.000"/>
  </numFmts>
  <fonts count="55" x14ac:knownFonts="1">
    <font>
      <sz val="11"/>
      <color theme="1"/>
      <name val="Calibri"/>
      <family val="2"/>
      <scheme val="minor"/>
    </font>
    <font>
      <sz val="11"/>
      <color rgb="FFFF0000"/>
      <name val="Calibri"/>
      <family val="2"/>
      <scheme val="minor"/>
    </font>
    <font>
      <sz val="11"/>
      <name val="Calibri"/>
      <family val="2"/>
      <scheme val="minor"/>
    </font>
    <font>
      <sz val="11"/>
      <color theme="1"/>
      <name val="Calibri"/>
      <family val="2"/>
      <scheme val="minor"/>
    </font>
    <font>
      <sz val="11"/>
      <name val="Times New Roman"/>
      <family val="1"/>
      <charset val="204"/>
    </font>
    <font>
      <sz val="10"/>
      <name val="Times New Roman"/>
      <family val="1"/>
      <charset val="204"/>
    </font>
    <font>
      <sz val="10"/>
      <name val="Arial"/>
      <family val="2"/>
      <charset val="204"/>
    </font>
    <font>
      <sz val="12"/>
      <color rgb="FFFF0000"/>
      <name val="Times New Roman"/>
      <family val="1"/>
      <charset val="204"/>
    </font>
    <font>
      <b/>
      <sz val="16"/>
      <color rgb="FFFF0000"/>
      <name val="Times New Roman"/>
      <family val="1"/>
      <charset val="204"/>
    </font>
    <font>
      <sz val="17"/>
      <color rgb="FFFF0000"/>
      <name val="Times New Roman"/>
      <family val="1"/>
      <charset val="204"/>
    </font>
    <font>
      <sz val="15"/>
      <color rgb="FFFF0000"/>
      <name val="Times New Roman"/>
      <family val="1"/>
      <charset val="204"/>
    </font>
    <font>
      <sz val="11"/>
      <color rgb="FFFF0000"/>
      <name val="Times New Roman"/>
      <family val="1"/>
      <charset val="204"/>
    </font>
    <font>
      <sz val="10"/>
      <color rgb="FFFF0000"/>
      <name val="Times New Roman"/>
      <family val="1"/>
      <charset val="204"/>
    </font>
    <font>
      <i/>
      <sz val="11"/>
      <name val="Times New Roman"/>
      <family val="1"/>
      <charset val="204"/>
    </font>
    <font>
      <i/>
      <sz val="12"/>
      <color rgb="FFFF0000"/>
      <name val="Times New Roman"/>
      <family val="1"/>
      <charset val="204"/>
    </font>
    <font>
      <i/>
      <sz val="11"/>
      <color rgb="FFFF0000"/>
      <name val="Times New Roman"/>
      <family val="1"/>
      <charset val="204"/>
    </font>
    <font>
      <b/>
      <i/>
      <sz val="16"/>
      <color rgb="FFFF0000"/>
      <name val="Times New Roman"/>
      <family val="1"/>
      <charset val="204"/>
    </font>
    <font>
      <b/>
      <sz val="12"/>
      <color rgb="FFFF0000"/>
      <name val="Times New Roman"/>
      <family val="1"/>
      <charset val="204"/>
    </font>
    <font>
      <sz val="13"/>
      <color rgb="FFFF0000"/>
      <name val="Times New Roman"/>
      <family val="1"/>
      <charset val="204"/>
    </font>
    <font>
      <sz val="10"/>
      <name val="Arial Cyr"/>
      <charset val="204"/>
    </font>
    <font>
      <b/>
      <sz val="9"/>
      <color indexed="81"/>
      <name val="Tahoma"/>
      <family val="2"/>
      <charset val="204"/>
    </font>
    <font>
      <sz val="9"/>
      <color indexed="81"/>
      <name val="Tahoma"/>
      <family val="2"/>
      <charset val="204"/>
    </font>
    <font>
      <b/>
      <sz val="14"/>
      <color rgb="FFFF0000"/>
      <name val="Times New Roman"/>
      <family val="1"/>
      <charset val="204"/>
    </font>
    <font>
      <b/>
      <sz val="11"/>
      <color rgb="FFFF0000"/>
      <name val="Times New Roman"/>
      <family val="1"/>
      <charset val="204"/>
    </font>
    <font>
      <b/>
      <sz val="10"/>
      <color rgb="FFFF0000"/>
      <name val="Times New Roman"/>
      <family val="1"/>
      <charset val="204"/>
    </font>
    <font>
      <sz val="14"/>
      <color rgb="FFFF0000"/>
      <name val="Times New Roman"/>
      <family val="1"/>
      <charset val="204"/>
    </font>
    <font>
      <sz val="10.5"/>
      <color rgb="FFFF0000"/>
      <name val="Times New Roman"/>
      <family val="1"/>
      <charset val="204"/>
    </font>
    <font>
      <sz val="16"/>
      <color rgb="FFFF0000"/>
      <name val="Times New Roman"/>
      <family val="1"/>
      <charset val="204"/>
    </font>
    <font>
      <b/>
      <sz val="11"/>
      <color rgb="FF00B0F0"/>
      <name val="Calibri"/>
      <family val="2"/>
      <charset val="204"/>
      <scheme val="minor"/>
    </font>
    <font>
      <b/>
      <sz val="11"/>
      <color rgb="FFFF0000"/>
      <name val="Calibri"/>
      <family val="2"/>
      <charset val="204"/>
      <scheme val="minor"/>
    </font>
    <font>
      <b/>
      <sz val="11"/>
      <color theme="1"/>
      <name val="Calibri"/>
      <family val="2"/>
      <charset val="204"/>
      <scheme val="minor"/>
    </font>
    <font>
      <sz val="12"/>
      <name val="Times New Roman"/>
      <family val="1"/>
      <charset val="204"/>
    </font>
    <font>
      <i/>
      <sz val="12"/>
      <name val="Times New Roman"/>
      <family val="1"/>
      <charset val="204"/>
    </font>
    <font>
      <b/>
      <sz val="11"/>
      <name val="Calibri"/>
      <family val="2"/>
      <charset val="204"/>
      <scheme val="minor"/>
    </font>
    <font>
      <sz val="11"/>
      <color rgb="FF00B050"/>
      <name val="Calibri"/>
      <family val="2"/>
      <scheme val="minor"/>
    </font>
    <font>
      <sz val="14"/>
      <color rgb="FF00B050"/>
      <name val="Calibri"/>
      <family val="2"/>
      <scheme val="minor"/>
    </font>
    <font>
      <sz val="14"/>
      <color rgb="FF00B0F0"/>
      <name val="Calibri"/>
      <family val="2"/>
      <scheme val="minor"/>
    </font>
    <font>
      <sz val="11"/>
      <color theme="0" tint="-0.249977111117893"/>
      <name val="Calibri"/>
      <family val="2"/>
      <scheme val="minor"/>
    </font>
    <font>
      <sz val="9"/>
      <color rgb="FFFF0000"/>
      <name val="Times New Roman"/>
      <family val="1"/>
      <charset val="204"/>
    </font>
    <font>
      <b/>
      <sz val="13"/>
      <color rgb="FFFF0000"/>
      <name val="Times New Roman"/>
      <family val="1"/>
      <charset val="204"/>
    </font>
    <font>
      <b/>
      <sz val="12"/>
      <name val="Times New Roman"/>
      <family val="1"/>
      <charset val="204"/>
    </font>
    <font>
      <b/>
      <sz val="11"/>
      <name val="Times New Roman"/>
      <family val="1"/>
      <charset val="204"/>
    </font>
    <font>
      <b/>
      <sz val="20"/>
      <color rgb="FFFF0000"/>
      <name val="Times New Roman"/>
      <family val="1"/>
      <charset val="204"/>
    </font>
    <font>
      <b/>
      <sz val="22"/>
      <name val="Times New Roman"/>
      <family val="1"/>
      <charset val="204"/>
    </font>
    <font>
      <b/>
      <sz val="14"/>
      <name val="Times New Roman"/>
      <family val="1"/>
      <charset val="204"/>
    </font>
    <font>
      <b/>
      <sz val="20"/>
      <name val="Times New Roman"/>
      <family val="1"/>
      <charset val="204"/>
    </font>
    <font>
      <b/>
      <i/>
      <sz val="16"/>
      <name val="Times New Roman"/>
      <family val="1"/>
      <charset val="204"/>
    </font>
    <font>
      <sz val="12"/>
      <color theme="1"/>
      <name val="Times New Roman"/>
      <family val="1"/>
      <charset val="204"/>
    </font>
    <font>
      <b/>
      <sz val="12"/>
      <color theme="1"/>
      <name val="Times New Roman"/>
      <family val="1"/>
      <charset val="204"/>
    </font>
    <font>
      <sz val="11"/>
      <color theme="1"/>
      <name val="Times New Roman"/>
      <family val="1"/>
      <charset val="204"/>
    </font>
    <font>
      <i/>
      <sz val="12"/>
      <color theme="1"/>
      <name val="Times New Roman"/>
      <family val="1"/>
      <charset val="204"/>
    </font>
    <font>
      <i/>
      <sz val="11"/>
      <color theme="1"/>
      <name val="Times New Roman"/>
      <family val="1"/>
      <charset val="204"/>
    </font>
    <font>
      <b/>
      <sz val="12"/>
      <color rgb="FF0070C0"/>
      <name val="Times New Roman"/>
      <family val="1"/>
      <charset val="204"/>
    </font>
    <font>
      <u/>
      <sz val="12"/>
      <name val="Times New Roman"/>
      <family val="1"/>
      <charset val="204"/>
    </font>
    <font>
      <sz val="14"/>
      <name val="Times New Roman"/>
      <family val="1"/>
      <charset val="204"/>
    </font>
  </fonts>
  <fills count="14">
    <fill>
      <patternFill patternType="none"/>
    </fill>
    <fill>
      <patternFill patternType="gray125"/>
    </fill>
    <fill>
      <patternFill patternType="solid">
        <fgColor theme="8" tint="0.39997558519241921"/>
        <bgColor indexed="64"/>
      </patternFill>
    </fill>
    <fill>
      <patternFill patternType="solid">
        <fgColor theme="0"/>
        <bgColor indexed="64"/>
      </patternFill>
    </fill>
    <fill>
      <patternFill patternType="solid">
        <fgColor theme="5" tint="0.59999389629810485"/>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rgb="FFCCFFFF"/>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rgb="FF92D050"/>
        <bgColor indexed="64"/>
      </patternFill>
    </fill>
    <fill>
      <patternFill patternType="solid">
        <fgColor rgb="FFFFFF00"/>
        <bgColor indexed="64"/>
      </patternFill>
    </fill>
    <fill>
      <patternFill patternType="solid">
        <fgColor theme="6" tint="0.39997558519241921"/>
        <bgColor indexed="64"/>
      </patternFill>
    </fill>
  </fills>
  <borders count="88">
    <border>
      <left/>
      <right/>
      <top/>
      <bottom/>
      <diagonal/>
    </border>
    <border>
      <left style="dashDot">
        <color theme="4"/>
      </left>
      <right style="dashDot">
        <color theme="4"/>
      </right>
      <top style="dashDot">
        <color theme="4"/>
      </top>
      <bottom style="dashDot">
        <color theme="4"/>
      </bottom>
      <diagonal/>
    </border>
    <border>
      <left style="medium">
        <color theme="4"/>
      </left>
      <right style="dashDot">
        <color theme="4"/>
      </right>
      <top style="medium">
        <color theme="4"/>
      </top>
      <bottom style="dashDot">
        <color theme="4"/>
      </bottom>
      <diagonal/>
    </border>
    <border>
      <left style="dashDot">
        <color theme="4"/>
      </left>
      <right style="dashDot">
        <color theme="4"/>
      </right>
      <top style="medium">
        <color theme="4"/>
      </top>
      <bottom style="dashDot">
        <color theme="4"/>
      </bottom>
      <diagonal/>
    </border>
    <border>
      <left style="dashDot">
        <color theme="4"/>
      </left>
      <right style="medium">
        <color theme="4"/>
      </right>
      <top style="medium">
        <color theme="4"/>
      </top>
      <bottom style="dashDot">
        <color theme="4"/>
      </bottom>
      <diagonal/>
    </border>
    <border>
      <left style="medium">
        <color theme="4"/>
      </left>
      <right style="dashDot">
        <color theme="4"/>
      </right>
      <top style="dashDot">
        <color theme="4"/>
      </top>
      <bottom style="dashDot">
        <color theme="4"/>
      </bottom>
      <diagonal/>
    </border>
    <border>
      <left style="dashDot">
        <color theme="4"/>
      </left>
      <right style="medium">
        <color theme="4"/>
      </right>
      <top style="dashDot">
        <color theme="4"/>
      </top>
      <bottom style="dashDot">
        <color theme="4"/>
      </bottom>
      <diagonal/>
    </border>
    <border>
      <left style="medium">
        <color theme="4"/>
      </left>
      <right style="dashDot">
        <color theme="4"/>
      </right>
      <top style="dashDot">
        <color theme="4"/>
      </top>
      <bottom style="medium">
        <color theme="4"/>
      </bottom>
      <diagonal/>
    </border>
    <border>
      <left style="dashDot">
        <color theme="4"/>
      </left>
      <right style="dashDot">
        <color theme="4"/>
      </right>
      <top style="dashDot">
        <color theme="4"/>
      </top>
      <bottom style="medium">
        <color theme="4"/>
      </bottom>
      <diagonal/>
    </border>
    <border>
      <left style="dashDot">
        <color theme="4"/>
      </left>
      <right style="medium">
        <color theme="4"/>
      </right>
      <top style="dashDot">
        <color theme="4"/>
      </top>
      <bottom style="medium">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ashDot">
        <color theme="4"/>
      </left>
      <right style="dashDot">
        <color theme="4"/>
      </right>
      <top/>
      <bottom/>
      <diagonal/>
    </border>
    <border>
      <left style="dashDot">
        <color theme="4"/>
      </left>
      <right/>
      <top style="medium">
        <color theme="4"/>
      </top>
      <bottom style="dashDot">
        <color theme="4"/>
      </bottom>
      <diagonal/>
    </border>
    <border>
      <left style="dashDot">
        <color theme="4"/>
      </left>
      <right/>
      <top style="dashDot">
        <color theme="4"/>
      </top>
      <bottom style="dashDot">
        <color theme="4"/>
      </bottom>
      <diagonal/>
    </border>
    <border>
      <left style="dashDot">
        <color theme="4"/>
      </left>
      <right/>
      <top style="dashDot">
        <color theme="4"/>
      </top>
      <bottom style="medium">
        <color theme="4"/>
      </bottom>
      <diagonal/>
    </border>
    <border>
      <left style="medium">
        <color theme="4"/>
      </left>
      <right style="dashDot">
        <color theme="4"/>
      </right>
      <top style="dashDot">
        <color theme="4"/>
      </top>
      <bottom/>
      <diagonal/>
    </border>
    <border>
      <left style="dashDot">
        <color theme="4"/>
      </left>
      <right style="dashDot">
        <color theme="4"/>
      </right>
      <top style="dashDot">
        <color theme="4"/>
      </top>
      <bottom/>
      <diagonal/>
    </border>
    <border>
      <left style="dashDot">
        <color theme="4"/>
      </left>
      <right/>
      <top style="dashDot">
        <color theme="4"/>
      </top>
      <bottom/>
      <diagonal/>
    </border>
    <border>
      <left style="dashDot">
        <color theme="4"/>
      </left>
      <right style="medium">
        <color theme="4"/>
      </right>
      <top style="dashDot">
        <color theme="4"/>
      </top>
      <bottom/>
      <diagonal/>
    </border>
    <border>
      <left style="medium">
        <color theme="4"/>
      </left>
      <right style="dashDot">
        <color theme="4"/>
      </right>
      <top/>
      <bottom style="dashDot">
        <color theme="4"/>
      </bottom>
      <diagonal/>
    </border>
    <border>
      <left style="dashDot">
        <color theme="4"/>
      </left>
      <right style="dashDot">
        <color theme="4"/>
      </right>
      <top/>
      <bottom style="dashDot">
        <color theme="4"/>
      </bottom>
      <diagonal/>
    </border>
    <border>
      <left style="dashDot">
        <color theme="4"/>
      </left>
      <right/>
      <top/>
      <bottom style="dashDot">
        <color theme="4"/>
      </bottom>
      <diagonal/>
    </border>
    <border>
      <left style="dashDot">
        <color theme="4"/>
      </left>
      <right style="medium">
        <color theme="4"/>
      </right>
      <top/>
      <bottom style="dashDot">
        <color theme="4"/>
      </bottom>
      <diagonal/>
    </border>
    <border>
      <left style="medium">
        <color indexed="64"/>
      </left>
      <right style="dashDot">
        <color theme="4"/>
      </right>
      <top style="medium">
        <color indexed="64"/>
      </top>
      <bottom style="dashDot">
        <color theme="4"/>
      </bottom>
      <diagonal/>
    </border>
    <border>
      <left style="dashDot">
        <color theme="4"/>
      </left>
      <right style="dashDot">
        <color theme="4"/>
      </right>
      <top style="medium">
        <color indexed="64"/>
      </top>
      <bottom style="dashDot">
        <color theme="4"/>
      </bottom>
      <diagonal/>
    </border>
    <border>
      <left style="dashDot">
        <color theme="4"/>
      </left>
      <right/>
      <top style="medium">
        <color indexed="64"/>
      </top>
      <bottom style="dashDot">
        <color theme="4"/>
      </bottom>
      <diagonal/>
    </border>
    <border>
      <left style="dashDot">
        <color theme="4"/>
      </left>
      <right style="medium">
        <color indexed="64"/>
      </right>
      <top style="medium">
        <color indexed="64"/>
      </top>
      <bottom style="dashDot">
        <color theme="4"/>
      </bottom>
      <diagonal/>
    </border>
    <border>
      <left style="medium">
        <color indexed="64"/>
      </left>
      <right style="dashDot">
        <color theme="4"/>
      </right>
      <top style="dashDot">
        <color theme="4"/>
      </top>
      <bottom style="dashDot">
        <color theme="4"/>
      </bottom>
      <diagonal/>
    </border>
    <border>
      <left style="dashDot">
        <color theme="4"/>
      </left>
      <right style="medium">
        <color indexed="64"/>
      </right>
      <top style="dashDot">
        <color theme="4"/>
      </top>
      <bottom style="dashDot">
        <color theme="4"/>
      </bottom>
      <diagonal/>
    </border>
    <border>
      <left/>
      <right style="dashDot">
        <color theme="4"/>
      </right>
      <top style="dashDot">
        <color theme="4"/>
      </top>
      <bottom style="dashDot">
        <color theme="4"/>
      </bottom>
      <diagonal/>
    </border>
    <border>
      <left style="medium">
        <color indexed="64"/>
      </left>
      <right style="dashDot">
        <color theme="4"/>
      </right>
      <top/>
      <bottom style="dashDot">
        <color theme="4"/>
      </bottom>
      <diagonal/>
    </border>
    <border>
      <left style="dashDot">
        <color theme="4"/>
      </left>
      <right style="medium">
        <color indexed="64"/>
      </right>
      <top/>
      <bottom style="dashDot">
        <color theme="4"/>
      </bottom>
      <diagonal/>
    </border>
    <border>
      <left style="medium">
        <color indexed="64"/>
      </left>
      <right style="dashDot">
        <color theme="4"/>
      </right>
      <top style="dashDot">
        <color theme="4"/>
      </top>
      <bottom style="double">
        <color indexed="64"/>
      </bottom>
      <diagonal/>
    </border>
    <border>
      <left style="dashDot">
        <color theme="4"/>
      </left>
      <right style="dashDot">
        <color theme="4"/>
      </right>
      <top style="dashDot">
        <color theme="4"/>
      </top>
      <bottom style="double">
        <color indexed="64"/>
      </bottom>
      <diagonal/>
    </border>
    <border>
      <left style="dashDot">
        <color theme="4"/>
      </left>
      <right/>
      <top style="dashDot">
        <color theme="4"/>
      </top>
      <bottom style="double">
        <color indexed="64"/>
      </bottom>
      <diagonal/>
    </border>
    <border>
      <left style="dashDot">
        <color theme="4"/>
      </left>
      <right style="medium">
        <color indexed="64"/>
      </right>
      <top style="dashDot">
        <color theme="4"/>
      </top>
      <bottom style="double">
        <color indexed="64"/>
      </bottom>
      <diagonal/>
    </border>
    <border>
      <left style="medium">
        <color theme="4"/>
      </left>
      <right style="dashDot">
        <color theme="4"/>
      </right>
      <top style="dashDot">
        <color theme="4"/>
      </top>
      <bottom style="double">
        <color indexed="64"/>
      </bottom>
      <diagonal/>
    </border>
    <border>
      <left style="dashDot">
        <color theme="4"/>
      </left>
      <right style="medium">
        <color theme="4"/>
      </right>
      <top style="dashDot">
        <color theme="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dashDot">
        <color theme="4"/>
      </right>
      <top style="dashDot">
        <color theme="4"/>
      </top>
      <bottom style="medium">
        <color indexed="64"/>
      </bottom>
      <diagonal/>
    </border>
    <border>
      <left style="dashDot">
        <color theme="4"/>
      </left>
      <right style="dashDot">
        <color theme="4"/>
      </right>
      <top style="dashDot">
        <color theme="4"/>
      </top>
      <bottom style="medium">
        <color indexed="64"/>
      </bottom>
      <diagonal/>
    </border>
    <border>
      <left style="dashDot">
        <color theme="4"/>
      </left>
      <right style="medium">
        <color indexed="64"/>
      </right>
      <top style="dashDot">
        <color theme="4"/>
      </top>
      <bottom style="medium">
        <color indexed="64"/>
      </bottom>
      <diagonal/>
    </border>
    <border>
      <left style="dashDot">
        <color theme="4"/>
      </left>
      <right/>
      <top style="dashDot">
        <color theme="4"/>
      </top>
      <bottom style="medium">
        <color indexed="64"/>
      </bottom>
      <diagonal/>
    </border>
    <border>
      <left style="medium">
        <color indexed="64"/>
      </left>
      <right style="dashDot">
        <color theme="4"/>
      </right>
      <top style="dashDot">
        <color theme="4"/>
      </top>
      <bottom/>
      <diagonal/>
    </border>
    <border>
      <left style="dashDot">
        <color theme="4"/>
      </left>
      <right style="medium">
        <color indexed="64"/>
      </right>
      <top style="dashDot">
        <color theme="4"/>
      </top>
      <bottom/>
      <diagonal/>
    </border>
    <border>
      <left style="thin">
        <color indexed="64"/>
      </left>
      <right style="thin">
        <color indexed="64"/>
      </right>
      <top/>
      <bottom/>
      <diagonal/>
    </border>
  </borders>
  <cellStyleXfs count="12">
    <xf numFmtId="0" fontId="0" fillId="0" borderId="0"/>
    <xf numFmtId="44" fontId="3" fillId="0" borderId="0" applyFont="0" applyFill="0" applyBorder="0" applyAlignment="0" applyProtection="0"/>
    <xf numFmtId="0" fontId="6" fillId="0" borderId="0"/>
    <xf numFmtId="0" fontId="6" fillId="0" borderId="0"/>
    <xf numFmtId="165" fontId="3" fillId="0" borderId="0" applyFont="0" applyFill="0" applyBorder="0" applyAlignment="0" applyProtection="0"/>
    <xf numFmtId="0" fontId="5" fillId="0" borderId="0"/>
    <xf numFmtId="168" fontId="19" fillId="0" borderId="0" applyFont="0" applyFill="0" applyBorder="0" applyAlignment="0" applyProtection="0"/>
    <xf numFmtId="0" fontId="19" fillId="0" borderId="0"/>
    <xf numFmtId="168" fontId="5" fillId="0" borderId="0" applyFont="0" applyFill="0" applyBorder="0" applyAlignment="0" applyProtection="0"/>
    <xf numFmtId="0" fontId="19" fillId="0" borderId="0"/>
    <xf numFmtId="0" fontId="5" fillId="0" borderId="0"/>
    <xf numFmtId="44" fontId="3" fillId="0" borderId="0" applyFont="0" applyFill="0" applyBorder="0" applyAlignment="0" applyProtection="0"/>
  </cellStyleXfs>
  <cellXfs count="544">
    <xf numFmtId="0" fontId="0" fillId="0" borderId="0" xfId="0"/>
    <xf numFmtId="0" fontId="0" fillId="0" borderId="1"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2" fontId="0" fillId="0" borderId="1" xfId="0" applyNumberFormat="1" applyBorder="1" applyAlignment="1">
      <alignment horizontal="center" vertical="center"/>
    </xf>
    <xf numFmtId="2" fontId="0" fillId="0" borderId="8" xfId="0" applyNumberFormat="1" applyBorder="1" applyAlignment="1">
      <alignment horizontal="center" vertical="center"/>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5" xfId="0" applyBorder="1" applyAlignment="1">
      <alignment horizontal="center" vertical="center" wrapText="1"/>
    </xf>
    <xf numFmtId="0" fontId="0" fillId="0" borderId="7" xfId="0" applyBorder="1" applyAlignment="1">
      <alignment horizontal="center" vertical="center" wrapText="1"/>
    </xf>
    <xf numFmtId="2" fontId="1" fillId="0" borderId="1" xfId="0" applyNumberFormat="1" applyFont="1" applyBorder="1" applyAlignment="1">
      <alignment horizontal="center" vertical="center"/>
    </xf>
    <xf numFmtId="2" fontId="2" fillId="0" borderId="1" xfId="0" applyNumberFormat="1" applyFont="1" applyBorder="1" applyAlignment="1">
      <alignment horizontal="center" vertical="center"/>
    </xf>
    <xf numFmtId="0" fontId="7" fillId="0" borderId="0" xfId="0" applyFont="1" applyFill="1"/>
    <xf numFmtId="0" fontId="8" fillId="0" borderId="0" xfId="0" applyFont="1" applyFill="1" applyAlignment="1">
      <alignment horizontal="left" vertical="center"/>
    </xf>
    <xf numFmtId="0" fontId="9" fillId="0" borderId="0" xfId="0" applyFont="1" applyFill="1" applyAlignment="1">
      <alignment vertical="top"/>
    </xf>
    <xf numFmtId="0" fontId="9" fillId="0" borderId="0" xfId="0" applyFont="1" applyAlignment="1">
      <alignment vertical="top"/>
    </xf>
    <xf numFmtId="0" fontId="10" fillId="0" borderId="0" xfId="0" applyFont="1" applyFill="1" applyAlignment="1">
      <alignment vertical="top"/>
    </xf>
    <xf numFmtId="0" fontId="10" fillId="0" borderId="0" xfId="0" applyFont="1" applyAlignment="1">
      <alignment vertical="top"/>
    </xf>
    <xf numFmtId="0" fontId="16" fillId="0" borderId="0" xfId="0" applyFont="1" applyFill="1" applyAlignment="1">
      <alignment horizontal="left" vertical="center"/>
    </xf>
    <xf numFmtId="0" fontId="15" fillId="0" borderId="0" xfId="0" applyFont="1" applyFill="1"/>
    <xf numFmtId="0" fontId="15" fillId="0" borderId="0" xfId="0" applyFont="1"/>
    <xf numFmtId="4" fontId="16" fillId="0" borderId="0" xfId="0" applyNumberFormat="1" applyFont="1" applyFill="1" applyAlignment="1">
      <alignment horizontal="left" vertical="center"/>
    </xf>
    <xf numFmtId="2" fontId="16" fillId="0" borderId="0" xfId="0" applyNumberFormat="1" applyFont="1" applyFill="1" applyAlignment="1">
      <alignment horizontal="left" vertical="center"/>
    </xf>
    <xf numFmtId="0" fontId="18" fillId="0" borderId="0" xfId="0" applyFont="1" applyFill="1"/>
    <xf numFmtId="0" fontId="8" fillId="0" borderId="0" xfId="0" applyFont="1" applyFill="1" applyBorder="1" applyAlignment="1">
      <alignment horizontal="left" vertical="center"/>
    </xf>
    <xf numFmtId="0" fontId="18" fillId="0" borderId="0" xfId="0" applyFont="1" applyFill="1" applyBorder="1"/>
    <xf numFmtId="0" fontId="18" fillId="0" borderId="0" xfId="0" applyFont="1" applyBorder="1"/>
    <xf numFmtId="0" fontId="18" fillId="0" borderId="0" xfId="0" applyFont="1"/>
    <xf numFmtId="4" fontId="11" fillId="0" borderId="0" xfId="0" applyNumberFormat="1" applyFont="1" applyFill="1" applyAlignment="1">
      <alignment horizontal="center" vertical="center" wrapText="1"/>
    </xf>
    <xf numFmtId="0" fontId="11" fillId="0" borderId="0" xfId="0" applyFont="1" applyAlignment="1">
      <alignment horizontal="center" vertical="center"/>
    </xf>
    <xf numFmtId="0" fontId="11" fillId="0" borderId="0" xfId="0" applyFont="1" applyAlignment="1">
      <alignment horizontal="center"/>
    </xf>
    <xf numFmtId="0" fontId="11" fillId="0" borderId="0" xfId="0" applyFont="1"/>
    <xf numFmtId="0" fontId="12" fillId="0" borderId="0" xfId="0" applyFont="1"/>
    <xf numFmtId="0" fontId="11" fillId="0" borderId="0" xfId="0" applyFont="1" applyFill="1"/>
    <xf numFmtId="0" fontId="7" fillId="0" borderId="0" xfId="0" applyFont="1" applyAlignment="1">
      <alignment horizontal="center" vertical="center"/>
    </xf>
    <xf numFmtId="0" fontId="7" fillId="0" borderId="0" xfId="0" applyFont="1" applyAlignment="1">
      <alignment horizontal="center"/>
    </xf>
    <xf numFmtId="0" fontId="8" fillId="0" borderId="0" xfId="0" applyFont="1" applyAlignment="1">
      <alignment horizontal="left" vertical="center"/>
    </xf>
    <xf numFmtId="0" fontId="22" fillId="0" borderId="0" xfId="0" applyNumberFormat="1" applyFont="1" applyAlignment="1">
      <alignment horizontal="left" vertical="center"/>
    </xf>
    <xf numFmtId="0" fontId="11" fillId="0" borderId="0" xfId="0" applyFont="1" applyAlignment="1">
      <alignment wrapText="1"/>
    </xf>
    <xf numFmtId="0" fontId="12" fillId="0" borderId="0" xfId="0" applyFont="1" applyAlignment="1">
      <alignment horizontal="center"/>
    </xf>
    <xf numFmtId="2" fontId="11" fillId="0" borderId="0" xfId="0" applyNumberFormat="1" applyFont="1" applyAlignment="1">
      <alignment horizontal="center"/>
    </xf>
    <xf numFmtId="2" fontId="11" fillId="0" borderId="0" xfId="0" applyNumberFormat="1" applyFont="1"/>
    <xf numFmtId="2" fontId="11" fillId="0" borderId="0" xfId="0" applyNumberFormat="1" applyFont="1" applyAlignment="1">
      <alignment horizontal="right"/>
    </xf>
    <xf numFmtId="49" fontId="23" fillId="2" borderId="10" xfId="0" applyNumberFormat="1" applyFont="1" applyFill="1" applyBorder="1" applyAlignment="1">
      <alignment horizontal="center" vertical="center" wrapText="1"/>
    </xf>
    <xf numFmtId="49" fontId="17" fillId="0" borderId="0" xfId="0" quotePrefix="1" applyNumberFormat="1" applyFont="1" applyFill="1" applyBorder="1" applyAlignment="1">
      <alignment vertical="center"/>
    </xf>
    <xf numFmtId="49" fontId="24" fillId="0" borderId="0" xfId="0" quotePrefix="1" applyNumberFormat="1" applyFont="1" applyFill="1" applyBorder="1" applyAlignment="1">
      <alignment vertical="center" wrapText="1"/>
    </xf>
    <xf numFmtId="2" fontId="23" fillId="0" borderId="0" xfId="0" applyNumberFormat="1" applyFont="1" applyFill="1" applyBorder="1" applyAlignment="1">
      <alignment horizontal="center" vertical="center" wrapText="1"/>
    </xf>
    <xf numFmtId="2" fontId="23" fillId="0" borderId="0" xfId="0" applyNumberFormat="1" applyFont="1" applyFill="1" applyBorder="1" applyAlignment="1">
      <alignment horizontal="right" vertical="center" wrapText="1"/>
    </xf>
    <xf numFmtId="2" fontId="23" fillId="0" borderId="0" xfId="0" applyNumberFormat="1" applyFont="1" applyBorder="1" applyAlignment="1">
      <alignment vertical="center" wrapText="1"/>
    </xf>
    <xf numFmtId="2" fontId="11" fillId="0" borderId="0" xfId="0" applyNumberFormat="1" applyFont="1" applyFill="1" applyBorder="1" applyAlignment="1">
      <alignment horizontal="right"/>
    </xf>
    <xf numFmtId="2" fontId="7" fillId="6" borderId="10" xfId="0" applyNumberFormat="1" applyFont="1" applyFill="1" applyBorder="1" applyAlignment="1">
      <alignment horizontal="center" vertical="center" wrapText="1"/>
    </xf>
    <xf numFmtId="0" fontId="7" fillId="0" borderId="10" xfId="0" applyFont="1" applyFill="1" applyBorder="1" applyAlignment="1">
      <alignment horizontal="center" vertical="center" wrapText="1"/>
    </xf>
    <xf numFmtId="0" fontId="11" fillId="0" borderId="21" xfId="0" applyFont="1" applyFill="1" applyBorder="1" applyAlignment="1">
      <alignment horizontal="center" vertical="center" wrapText="1"/>
    </xf>
    <xf numFmtId="0" fontId="14" fillId="0" borderId="10" xfId="0" applyNumberFormat="1" applyFont="1" applyBorder="1" applyAlignment="1">
      <alignment horizontal="center" vertical="center" wrapText="1"/>
    </xf>
    <xf numFmtId="0" fontId="15" fillId="0" borderId="21"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23" fillId="7" borderId="21" xfId="0" applyFont="1" applyFill="1" applyBorder="1" applyAlignment="1">
      <alignment horizontal="center" vertical="center" wrapText="1"/>
    </xf>
    <xf numFmtId="0" fontId="11" fillId="0" borderId="21" xfId="0" applyFont="1" applyBorder="1" applyAlignment="1">
      <alignment horizontal="center" vertical="center" wrapText="1"/>
    </xf>
    <xf numFmtId="0" fontId="15" fillId="0" borderId="32" xfId="0" applyFont="1" applyBorder="1" applyAlignment="1">
      <alignment horizontal="center" vertical="center" wrapText="1"/>
    </xf>
    <xf numFmtId="49" fontId="7" fillId="0" borderId="0" xfId="0" applyNumberFormat="1" applyFont="1" applyFill="1"/>
    <xf numFmtId="0" fontId="25" fillId="0" borderId="0" xfId="0" applyFont="1" applyAlignment="1">
      <alignment vertical="center"/>
    </xf>
    <xf numFmtId="0" fontId="12" fillId="0" borderId="0" xfId="0" applyFont="1" applyFill="1" applyAlignment="1">
      <alignment horizontal="center"/>
    </xf>
    <xf numFmtId="168" fontId="12" fillId="0" borderId="0" xfId="6" applyFont="1" applyFill="1" applyBorder="1" applyAlignment="1" applyProtection="1"/>
    <xf numFmtId="4" fontId="26" fillId="0" borderId="0" xfId="6" applyNumberFormat="1" applyFont="1" applyFill="1" applyBorder="1" applyAlignment="1" applyProtection="1"/>
    <xf numFmtId="0" fontId="12" fillId="0" borderId="0" xfId="0" applyFont="1" applyFill="1"/>
    <xf numFmtId="0" fontId="25" fillId="0" borderId="0" xfId="0" applyFont="1" applyAlignment="1">
      <alignment vertical="top"/>
    </xf>
    <xf numFmtId="49" fontId="24" fillId="0" borderId="0" xfId="0" applyNumberFormat="1" applyFont="1" applyFill="1" applyAlignment="1">
      <alignment horizontal="center" vertical="center"/>
    </xf>
    <xf numFmtId="0" fontId="12" fillId="0" borderId="0" xfId="0" applyFont="1" applyFill="1" applyAlignment="1">
      <alignment horizontal="center" vertical="center" wrapText="1"/>
    </xf>
    <xf numFmtId="0" fontId="12" fillId="0" borderId="0" xfId="0" applyFont="1" applyFill="1" applyAlignment="1">
      <alignment horizontal="center" vertical="center"/>
    </xf>
    <xf numFmtId="0" fontId="25" fillId="0" borderId="0" xfId="0" applyFont="1" applyAlignment="1">
      <alignment vertical="center" wrapText="1"/>
    </xf>
    <xf numFmtId="2" fontId="0" fillId="0" borderId="0" xfId="0" applyNumberFormat="1"/>
    <xf numFmtId="0" fontId="0" fillId="0" borderId="0" xfId="0" applyAlignment="1">
      <alignment horizontal="center"/>
    </xf>
    <xf numFmtId="0" fontId="0" fillId="0" borderId="0" xfId="0" applyBorder="1"/>
    <xf numFmtId="2" fontId="0" fillId="0" borderId="46" xfId="0" applyNumberFormat="1" applyFill="1" applyBorder="1" applyAlignment="1">
      <alignment horizontal="center" vertical="center"/>
    </xf>
    <xf numFmtId="2" fontId="0" fillId="0" borderId="1" xfId="0" applyNumberFormat="1" applyFill="1" applyBorder="1" applyAlignment="1">
      <alignment horizontal="center" vertical="center"/>
    </xf>
    <xf numFmtId="2" fontId="0" fillId="0" borderId="8" xfId="0" applyNumberFormat="1" applyFill="1"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47" xfId="0" applyBorder="1" applyAlignment="1">
      <alignment horizontal="center" vertical="center" wrapText="1"/>
    </xf>
    <xf numFmtId="2" fontId="0" fillId="0" borderId="48" xfId="0" applyNumberFormat="1" applyBorder="1" applyAlignment="1">
      <alignment horizontal="center" vertical="center"/>
    </xf>
    <xf numFmtId="0" fontId="0" fillId="0" borderId="50" xfId="0" applyBorder="1" applyAlignment="1">
      <alignment horizontal="center" vertical="center" wrapText="1"/>
    </xf>
    <xf numFmtId="0" fontId="0" fillId="0" borderId="51" xfId="0" applyBorder="1" applyAlignment="1">
      <alignment horizontal="center" vertical="center"/>
    </xf>
    <xf numFmtId="0" fontId="0" fillId="0" borderId="52" xfId="0" applyBorder="1" applyAlignment="1">
      <alignment horizontal="center" vertical="center"/>
    </xf>
    <xf numFmtId="0" fontId="0" fillId="0" borderId="53" xfId="0" applyBorder="1" applyAlignment="1">
      <alignment horizontal="center" vertical="center"/>
    </xf>
    <xf numFmtId="0" fontId="0" fillId="0" borderId="54" xfId="0" applyBorder="1" applyAlignment="1">
      <alignment horizontal="center" vertical="center" wrapText="1"/>
    </xf>
    <xf numFmtId="0" fontId="0" fillId="0" borderId="55" xfId="0" applyBorder="1" applyAlignment="1">
      <alignment horizontal="center" vertical="center"/>
    </xf>
    <xf numFmtId="2" fontId="0" fillId="0" borderId="55" xfId="0" applyNumberFormat="1" applyBorder="1" applyAlignment="1">
      <alignment horizontal="center" vertical="center"/>
    </xf>
    <xf numFmtId="2" fontId="0" fillId="0" borderId="55" xfId="0" applyNumberFormat="1" applyFill="1" applyBorder="1" applyAlignment="1">
      <alignment horizontal="center" vertical="center"/>
    </xf>
    <xf numFmtId="2" fontId="0" fillId="0" borderId="56" xfId="0" applyNumberFormat="1" applyBorder="1" applyAlignment="1">
      <alignment horizontal="center" vertical="center"/>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58" xfId="0" applyBorder="1" applyAlignment="1">
      <alignment horizontal="center" vertical="center" wrapText="1"/>
    </xf>
    <xf numFmtId="0" fontId="0" fillId="0" borderId="59" xfId="0" applyBorder="1" applyAlignment="1">
      <alignment horizontal="center" vertical="center"/>
    </xf>
    <xf numFmtId="2" fontId="0" fillId="0" borderId="59" xfId="0" applyNumberFormat="1" applyBorder="1" applyAlignment="1">
      <alignment horizontal="center" vertical="center"/>
    </xf>
    <xf numFmtId="2" fontId="0" fillId="0" borderId="59" xfId="0" applyNumberFormat="1" applyFill="1" applyBorder="1" applyAlignment="1">
      <alignment horizontal="center" vertical="center"/>
    </xf>
    <xf numFmtId="2" fontId="0" fillId="0" borderId="60" xfId="0" applyNumberFormat="1" applyBorder="1" applyAlignment="1">
      <alignment horizontal="center" vertical="center"/>
    </xf>
    <xf numFmtId="0" fontId="0" fillId="0" borderId="60" xfId="0" applyBorder="1" applyAlignment="1">
      <alignment horizontal="center" vertical="center"/>
    </xf>
    <xf numFmtId="0" fontId="0" fillId="0" borderId="61" xfId="0" applyBorder="1" applyAlignment="1">
      <alignment horizontal="center" vertical="center"/>
    </xf>
    <xf numFmtId="0" fontId="0" fillId="0" borderId="62" xfId="0" applyBorder="1" applyAlignment="1">
      <alignment horizontal="center" vertical="center" wrapText="1"/>
    </xf>
    <xf numFmtId="0" fontId="0" fillId="0" borderId="63" xfId="0" applyBorder="1" applyAlignment="1">
      <alignment horizontal="center" vertical="center"/>
    </xf>
    <xf numFmtId="2" fontId="0" fillId="0" borderId="64" xfId="0" applyNumberFormat="1" applyBorder="1" applyAlignment="1">
      <alignment horizontal="center" vertical="center"/>
    </xf>
    <xf numFmtId="0" fontId="0" fillId="0" borderId="65" xfId="0" applyBorder="1" applyAlignment="1">
      <alignment horizontal="center" vertical="center" wrapText="1"/>
    </xf>
    <xf numFmtId="0" fontId="0" fillId="0" borderId="66" xfId="0" applyBorder="1" applyAlignment="1">
      <alignment horizontal="center" vertical="center"/>
    </xf>
    <xf numFmtId="0" fontId="0" fillId="0" borderId="67" xfId="0" applyBorder="1" applyAlignment="1">
      <alignment horizontal="center" vertical="center" wrapText="1"/>
    </xf>
    <xf numFmtId="0" fontId="0" fillId="0" borderId="68" xfId="0" applyBorder="1" applyAlignment="1">
      <alignment horizontal="center" vertical="center"/>
    </xf>
    <xf numFmtId="2" fontId="0" fillId="0" borderId="68" xfId="0" applyNumberFormat="1" applyBorder="1" applyAlignment="1">
      <alignment horizontal="center" vertical="center"/>
    </xf>
    <xf numFmtId="2" fontId="0" fillId="0" borderId="68" xfId="0" applyNumberFormat="1" applyFill="1" applyBorder="1" applyAlignment="1">
      <alignment horizontal="center" vertical="center"/>
    </xf>
    <xf numFmtId="2" fontId="0" fillId="0" borderId="69" xfId="0" applyNumberFormat="1" applyBorder="1" applyAlignment="1">
      <alignment horizontal="center" vertical="center"/>
    </xf>
    <xf numFmtId="0" fontId="0" fillId="0" borderId="69" xfId="0" applyBorder="1" applyAlignment="1">
      <alignment horizontal="center" vertical="center"/>
    </xf>
    <xf numFmtId="0" fontId="0" fillId="0" borderId="70" xfId="0" applyBorder="1" applyAlignment="1">
      <alignment horizontal="center" vertical="center"/>
    </xf>
    <xf numFmtId="0" fontId="0" fillId="0" borderId="71" xfId="0" applyBorder="1" applyAlignment="1">
      <alignment horizontal="center" vertical="center" wrapText="1"/>
    </xf>
    <xf numFmtId="0" fontId="0" fillId="0" borderId="72" xfId="0" applyBorder="1" applyAlignment="1">
      <alignment horizontal="center" vertical="center"/>
    </xf>
    <xf numFmtId="2" fontId="28" fillId="0" borderId="0" xfId="0" applyNumberFormat="1" applyFont="1"/>
    <xf numFmtId="2" fontId="0" fillId="0" borderId="51" xfId="0" applyNumberFormat="1" applyBorder="1" applyAlignment="1">
      <alignment horizontal="center" vertical="center"/>
    </xf>
    <xf numFmtId="2" fontId="0" fillId="0" borderId="51" xfId="0" applyNumberFormat="1" applyFill="1" applyBorder="1" applyAlignment="1">
      <alignment horizontal="center" vertical="center"/>
    </xf>
    <xf numFmtId="2" fontId="0" fillId="0" borderId="52" xfId="0" applyNumberFormat="1" applyBorder="1" applyAlignment="1">
      <alignment horizontal="center" vertical="center"/>
    </xf>
    <xf numFmtId="0" fontId="29" fillId="0" borderId="0" xfId="0" applyFont="1"/>
    <xf numFmtId="2" fontId="2" fillId="0" borderId="1" xfId="0" applyNumberFormat="1" applyFont="1" applyFill="1" applyBorder="1" applyAlignment="1">
      <alignment horizontal="center" vertical="center"/>
    </xf>
    <xf numFmtId="2" fontId="30" fillId="0" borderId="0" xfId="0" applyNumberFormat="1" applyFont="1"/>
    <xf numFmtId="2" fontId="31" fillId="0" borderId="29" xfId="0" applyNumberFormat="1" applyFont="1" applyFill="1" applyBorder="1" applyAlignment="1">
      <alignment horizontal="center" vertical="center" wrapText="1"/>
    </xf>
    <xf numFmtId="4" fontId="31" fillId="3" borderId="17" xfId="0" applyNumberFormat="1" applyFont="1" applyFill="1" applyBorder="1" applyAlignment="1">
      <alignment horizontal="center" vertical="center" wrapText="1"/>
    </xf>
    <xf numFmtId="2" fontId="32" fillId="0" borderId="29" xfId="0" applyNumberFormat="1" applyFont="1" applyFill="1" applyBorder="1" applyAlignment="1">
      <alignment horizontal="center" vertical="center" wrapText="1"/>
    </xf>
    <xf numFmtId="2" fontId="32" fillId="6" borderId="17" xfId="0" applyNumberFormat="1" applyFont="1" applyFill="1" applyBorder="1" applyAlignment="1">
      <alignment horizontal="center" vertical="center" wrapText="1"/>
    </xf>
    <xf numFmtId="0" fontId="13" fillId="0" borderId="21" xfId="0" applyFont="1" applyFill="1" applyBorder="1" applyAlignment="1">
      <alignment horizontal="center" vertical="center" wrapText="1"/>
    </xf>
    <xf numFmtId="2" fontId="31" fillId="0" borderId="20" xfId="0" applyNumberFormat="1" applyFont="1" applyFill="1" applyBorder="1" applyAlignment="1">
      <alignment horizontal="center" vertical="center" wrapText="1"/>
    </xf>
    <xf numFmtId="2" fontId="31" fillId="0" borderId="17" xfId="0" applyNumberFormat="1" applyFont="1" applyBorder="1" applyAlignment="1">
      <alignment horizontal="center" vertical="center" wrapText="1"/>
    </xf>
    <xf numFmtId="2" fontId="31" fillId="0" borderId="10" xfId="0" applyNumberFormat="1" applyFont="1" applyBorder="1" applyAlignment="1">
      <alignment horizontal="center" vertical="center" wrapText="1"/>
    </xf>
    <xf numFmtId="2" fontId="32" fillId="0" borderId="20" xfId="0" applyNumberFormat="1" applyFont="1" applyFill="1" applyBorder="1" applyAlignment="1">
      <alignment horizontal="center" vertical="center" wrapText="1"/>
    </xf>
    <xf numFmtId="2" fontId="32" fillId="0" borderId="17" xfId="0" applyNumberFormat="1" applyFont="1" applyFill="1" applyBorder="1" applyAlignment="1">
      <alignment horizontal="center" vertical="center" wrapText="1"/>
    </xf>
    <xf numFmtId="2" fontId="32" fillId="0" borderId="10" xfId="0" applyNumberFormat="1" applyFont="1" applyFill="1" applyBorder="1" applyAlignment="1">
      <alignment horizontal="center" vertical="center" wrapText="1"/>
    </xf>
    <xf numFmtId="2" fontId="31" fillId="6" borderId="10" xfId="0" applyNumberFormat="1" applyFont="1" applyFill="1" applyBorder="1" applyAlignment="1">
      <alignment horizontal="center" vertical="center" wrapText="1"/>
    </xf>
    <xf numFmtId="0" fontId="4" fillId="0" borderId="21" xfId="0" applyFont="1" applyFill="1" applyBorder="1" applyAlignment="1">
      <alignment horizontal="center" vertical="center" wrapText="1"/>
    </xf>
    <xf numFmtId="0" fontId="11" fillId="0" borderId="0" xfId="0" applyFont="1" applyAlignment="1">
      <alignment horizontal="left"/>
    </xf>
    <xf numFmtId="0" fontId="0" fillId="0" borderId="10" xfId="0" applyBorder="1" applyAlignment="1">
      <alignment horizontal="center"/>
    </xf>
    <xf numFmtId="0" fontId="0" fillId="0" borderId="74" xfId="0" applyBorder="1"/>
    <xf numFmtId="0" fontId="0" fillId="0" borderId="76" xfId="0" applyBorder="1"/>
    <xf numFmtId="0" fontId="0" fillId="0" borderId="77" xfId="0" applyBorder="1"/>
    <xf numFmtId="2" fontId="0" fillId="0" borderId="0" xfId="0" applyNumberFormat="1" applyBorder="1"/>
    <xf numFmtId="0" fontId="33" fillId="0" borderId="74" xfId="0" applyFont="1" applyBorder="1"/>
    <xf numFmtId="0" fontId="30" fillId="0" borderId="0" xfId="0" applyFont="1"/>
    <xf numFmtId="0" fontId="34" fillId="0" borderId="0" xfId="0" applyFont="1"/>
    <xf numFmtId="0" fontId="2" fillId="0" borderId="0" xfId="0" applyFont="1"/>
    <xf numFmtId="0" fontId="33" fillId="0" borderId="0" xfId="0" applyFont="1"/>
    <xf numFmtId="2" fontId="30" fillId="0" borderId="1" xfId="0" applyNumberFormat="1" applyFont="1" applyFill="1" applyBorder="1" applyAlignment="1">
      <alignment horizontal="center" vertical="center"/>
    </xf>
    <xf numFmtId="0" fontId="0" fillId="0" borderId="73" xfId="0" applyBorder="1"/>
    <xf numFmtId="0" fontId="0" fillId="0" borderId="75" xfId="0" applyBorder="1" applyAlignment="1">
      <alignment wrapText="1"/>
    </xf>
    <xf numFmtId="0" fontId="34" fillId="0" borderId="0" xfId="0" applyFont="1" applyBorder="1" applyAlignment="1">
      <alignment horizontal="center"/>
    </xf>
    <xf numFmtId="0" fontId="0" fillId="0" borderId="76" xfId="0" applyBorder="1" applyAlignment="1">
      <alignment wrapText="1"/>
    </xf>
    <xf numFmtId="2" fontId="0" fillId="0" borderId="77" xfId="0" applyNumberFormat="1" applyBorder="1"/>
    <xf numFmtId="0" fontId="0" fillId="0" borderId="78" xfId="0" applyBorder="1" applyAlignment="1">
      <alignment wrapText="1"/>
    </xf>
    <xf numFmtId="2" fontId="34" fillId="0" borderId="79" xfId="0" applyNumberFormat="1" applyFont="1" applyBorder="1" applyAlignment="1">
      <alignment horizontal="center"/>
    </xf>
    <xf numFmtId="2" fontId="0" fillId="0" borderId="79" xfId="0" applyNumberFormat="1" applyBorder="1"/>
    <xf numFmtId="2" fontId="0" fillId="0" borderId="80" xfId="0" applyNumberFormat="1" applyBorder="1"/>
    <xf numFmtId="0" fontId="0" fillId="0" borderId="0" xfId="0" applyAlignment="1">
      <alignment horizontal="center" wrapText="1"/>
    </xf>
    <xf numFmtId="49" fontId="7" fillId="0" borderId="34" xfId="0" applyNumberFormat="1" applyFont="1" applyFill="1" applyBorder="1" applyAlignment="1">
      <alignment horizontal="center" vertical="center" wrapText="1"/>
    </xf>
    <xf numFmtId="49" fontId="11" fillId="0" borderId="0" xfId="0" applyNumberFormat="1" applyFont="1" applyFill="1" applyAlignment="1">
      <alignment horizontal="left" vertical="center"/>
    </xf>
    <xf numFmtId="0" fontId="11" fillId="0" borderId="0" xfId="0" applyNumberFormat="1" applyFont="1" applyFill="1" applyAlignment="1">
      <alignment horizontal="left" vertical="center"/>
    </xf>
    <xf numFmtId="0" fontId="27" fillId="0" borderId="0" xfId="0" applyFont="1" applyAlignment="1">
      <alignment horizontal="left" vertical="center"/>
    </xf>
    <xf numFmtId="0" fontId="11" fillId="0" borderId="0" xfId="0" applyFont="1" applyFill="1" applyAlignment="1">
      <alignment horizontal="left" vertical="center"/>
    </xf>
    <xf numFmtId="0" fontId="27" fillId="0" borderId="0" xfId="0" applyFont="1"/>
    <xf numFmtId="168" fontId="12" fillId="0" borderId="0" xfId="8" applyFont="1" applyFill="1" applyBorder="1" applyAlignment="1" applyProtection="1"/>
    <xf numFmtId="4" fontId="26" fillId="0" borderId="0" xfId="8" applyNumberFormat="1" applyFont="1" applyFill="1" applyBorder="1" applyAlignment="1" applyProtection="1"/>
    <xf numFmtId="0" fontId="12" fillId="0" borderId="0" xfId="0" applyFont="1" applyFill="1" applyAlignment="1">
      <alignment horizontal="left"/>
    </xf>
    <xf numFmtId="1" fontId="11" fillId="0" borderId="0" xfId="0" applyNumberFormat="1" applyFont="1" applyFill="1" applyAlignment="1">
      <alignment horizontal="right" vertical="top" wrapText="1"/>
    </xf>
    <xf numFmtId="164" fontId="11" fillId="0" borderId="0" xfId="0" applyNumberFormat="1" applyFont="1" applyAlignment="1">
      <alignment horizontal="center" vertical="center" wrapText="1"/>
    </xf>
    <xf numFmtId="0" fontId="12" fillId="0" borderId="0" xfId="0" applyFont="1" applyAlignment="1">
      <alignment horizontal="center" vertical="center" wrapText="1"/>
    </xf>
    <xf numFmtId="2" fontId="11" fillId="0" borderId="0" xfId="0" applyNumberFormat="1" applyFont="1" applyAlignment="1">
      <alignment horizontal="left"/>
    </xf>
    <xf numFmtId="0" fontId="12" fillId="0" borderId="0" xfId="0" applyFont="1" applyFill="1" applyAlignment="1">
      <alignment vertical="center"/>
    </xf>
    <xf numFmtId="0" fontId="27" fillId="0" borderId="0" xfId="0" applyFont="1" applyFill="1"/>
    <xf numFmtId="0" fontId="11" fillId="0" borderId="0" xfId="0" applyFont="1" applyFill="1" applyAlignment="1">
      <alignment vertical="top"/>
    </xf>
    <xf numFmtId="0" fontId="11" fillId="0" borderId="0" xfId="0" applyFont="1" applyFill="1" applyAlignment="1">
      <alignment horizontal="center"/>
    </xf>
    <xf numFmtId="0" fontId="25" fillId="0" borderId="0" xfId="0" applyFont="1" applyAlignment="1">
      <alignment horizontal="center" vertical="center"/>
    </xf>
    <xf numFmtId="0" fontId="11" fillId="0" borderId="0" xfId="0" applyFont="1" applyAlignment="1">
      <alignment vertical="center"/>
    </xf>
    <xf numFmtId="0" fontId="0" fillId="0" borderId="59" xfId="0" applyBorder="1" applyAlignment="1">
      <alignment horizontal="center" vertical="center" wrapText="1"/>
    </xf>
    <xf numFmtId="0" fontId="0" fillId="0" borderId="81" xfId="0" applyBorder="1" applyAlignment="1">
      <alignment horizontal="center" vertical="center" wrapText="1"/>
    </xf>
    <xf numFmtId="0" fontId="0" fillId="0" borderId="82" xfId="0" applyBorder="1" applyAlignment="1">
      <alignment horizontal="center" vertical="center"/>
    </xf>
    <xf numFmtId="2" fontId="0" fillId="0" borderId="82" xfId="0" applyNumberFormat="1" applyBorder="1" applyAlignment="1">
      <alignment horizontal="center" vertical="center"/>
    </xf>
    <xf numFmtId="0" fontId="0" fillId="0" borderId="83" xfId="0" applyBorder="1" applyAlignment="1">
      <alignment horizontal="center" vertical="center"/>
    </xf>
    <xf numFmtId="0" fontId="30" fillId="0" borderId="58" xfId="0" applyFont="1" applyBorder="1" applyAlignment="1">
      <alignment horizontal="center" vertical="center" wrapText="1"/>
    </xf>
    <xf numFmtId="0" fontId="30" fillId="0" borderId="62" xfId="0" applyFont="1" applyBorder="1" applyAlignment="1">
      <alignment horizontal="center" vertical="center" wrapText="1"/>
    </xf>
    <xf numFmtId="0" fontId="30" fillId="0" borderId="1" xfId="0" applyFont="1" applyBorder="1" applyAlignment="1">
      <alignment horizontal="center" vertical="center"/>
    </xf>
    <xf numFmtId="0" fontId="1" fillId="0" borderId="0" xfId="0" applyFont="1"/>
    <xf numFmtId="0" fontId="0" fillId="9" borderId="1" xfId="0" applyFill="1" applyBorder="1" applyAlignment="1">
      <alignment horizontal="center" vertical="center"/>
    </xf>
    <xf numFmtId="0" fontId="0" fillId="9" borderId="63" xfId="0" applyFill="1" applyBorder="1" applyAlignment="1">
      <alignment horizontal="center" vertical="center"/>
    </xf>
    <xf numFmtId="2" fontId="30" fillId="0" borderId="1" xfId="0" applyNumberFormat="1" applyFont="1" applyBorder="1" applyAlignment="1">
      <alignment horizontal="center" vertical="center"/>
    </xf>
    <xf numFmtId="0" fontId="33" fillId="0" borderId="62" xfId="0" applyFont="1" applyBorder="1" applyAlignment="1">
      <alignment horizontal="center" vertical="center" wrapText="1"/>
    </xf>
    <xf numFmtId="0" fontId="30" fillId="0" borderId="76" xfId="0" applyFont="1" applyBorder="1" applyAlignment="1">
      <alignment horizontal="center" wrapText="1"/>
    </xf>
    <xf numFmtId="0" fontId="30" fillId="0" borderId="0" xfId="0" applyFont="1" applyBorder="1" applyAlignment="1">
      <alignment horizontal="center"/>
    </xf>
    <xf numFmtId="0" fontId="0" fillId="0" borderId="60" xfId="0" applyBorder="1" applyAlignment="1">
      <alignment horizontal="center" vertical="center" wrapText="1"/>
    </xf>
    <xf numFmtId="0" fontId="0" fillId="0" borderId="84" xfId="0" applyBorder="1" applyAlignment="1">
      <alignment horizontal="center" vertical="center"/>
    </xf>
    <xf numFmtId="2" fontId="0" fillId="0" borderId="62" xfId="0" applyNumberFormat="1" applyBorder="1" applyAlignment="1">
      <alignment horizontal="center" vertical="center" wrapText="1"/>
    </xf>
    <xf numFmtId="2" fontId="0" fillId="10" borderId="59" xfId="0" applyNumberFormat="1" applyFill="1" applyBorder="1" applyAlignment="1">
      <alignment horizontal="center" vertical="center"/>
    </xf>
    <xf numFmtId="2" fontId="0" fillId="10" borderId="1" xfId="0" applyNumberFormat="1" applyFill="1" applyBorder="1" applyAlignment="1">
      <alignment horizontal="center" vertical="center"/>
    </xf>
    <xf numFmtId="0" fontId="0" fillId="0" borderId="10" xfId="0" applyBorder="1" applyAlignment="1">
      <alignment horizontal="center" wrapText="1"/>
    </xf>
    <xf numFmtId="2" fontId="0" fillId="11" borderId="59" xfId="0" applyNumberFormat="1" applyFill="1" applyBorder="1" applyAlignment="1">
      <alignment horizontal="center" vertical="center"/>
    </xf>
    <xf numFmtId="2" fontId="0" fillId="11" borderId="1" xfId="0" applyNumberFormat="1" applyFill="1" applyBorder="1" applyAlignment="1">
      <alignment horizontal="center" vertical="center"/>
    </xf>
    <xf numFmtId="0" fontId="0" fillId="11" borderId="10" xfId="0" applyFill="1" applyBorder="1" applyAlignment="1">
      <alignment horizontal="center" wrapText="1"/>
    </xf>
    <xf numFmtId="0" fontId="0" fillId="10" borderId="10" xfId="0" applyFill="1" applyBorder="1" applyAlignment="1">
      <alignment horizontal="center" wrapText="1"/>
    </xf>
    <xf numFmtId="0" fontId="35" fillId="0" borderId="10" xfId="0" applyFont="1" applyBorder="1" applyAlignment="1">
      <alignment horizontal="center"/>
    </xf>
    <xf numFmtId="2" fontId="36" fillId="0" borderId="10" xfId="0" applyNumberFormat="1" applyFont="1" applyBorder="1" applyAlignment="1">
      <alignment horizontal="center"/>
    </xf>
    <xf numFmtId="0" fontId="0" fillId="0" borderId="85" xfId="0" applyBorder="1" applyAlignment="1">
      <alignment horizontal="center" vertical="center" wrapText="1"/>
    </xf>
    <xf numFmtId="0" fontId="0" fillId="0" borderId="86" xfId="0" applyBorder="1" applyAlignment="1">
      <alignment horizontal="center" vertical="center"/>
    </xf>
    <xf numFmtId="0" fontId="37" fillId="0" borderId="67" xfId="0" applyFont="1" applyBorder="1" applyAlignment="1">
      <alignment horizontal="center" vertical="center" wrapText="1"/>
    </xf>
    <xf numFmtId="0" fontId="37" fillId="0" borderId="68" xfId="0" applyFont="1" applyBorder="1" applyAlignment="1">
      <alignment horizontal="center" vertical="center"/>
    </xf>
    <xf numFmtId="2" fontId="37" fillId="0" borderId="68" xfId="0" applyNumberFormat="1" applyFont="1" applyBorder="1" applyAlignment="1">
      <alignment horizontal="center" vertical="center"/>
    </xf>
    <xf numFmtId="2" fontId="37" fillId="0" borderId="68" xfId="0" applyNumberFormat="1" applyFont="1" applyFill="1" applyBorder="1" applyAlignment="1">
      <alignment horizontal="center" vertical="center"/>
    </xf>
    <xf numFmtId="2" fontId="37" fillId="0" borderId="69" xfId="0" applyNumberFormat="1" applyFont="1" applyBorder="1" applyAlignment="1">
      <alignment horizontal="center" vertical="center"/>
    </xf>
    <xf numFmtId="0" fontId="37" fillId="0" borderId="69" xfId="0" applyFont="1" applyBorder="1" applyAlignment="1">
      <alignment horizontal="center" vertical="center"/>
    </xf>
    <xf numFmtId="2" fontId="0" fillId="11" borderId="55" xfId="0" applyNumberFormat="1" applyFill="1" applyBorder="1" applyAlignment="1">
      <alignment horizontal="center" vertical="center"/>
    </xf>
    <xf numFmtId="2" fontId="0" fillId="10" borderId="55" xfId="0" applyNumberFormat="1" applyFill="1" applyBorder="1" applyAlignment="1">
      <alignment horizontal="center" vertical="center"/>
    </xf>
    <xf numFmtId="2" fontId="0" fillId="0" borderId="67" xfId="0" applyNumberFormat="1" applyBorder="1" applyAlignment="1">
      <alignment horizontal="center" vertical="center" wrapText="1"/>
    </xf>
    <xf numFmtId="2" fontId="0" fillId="11" borderId="68" xfId="0" applyNumberFormat="1" applyFill="1" applyBorder="1" applyAlignment="1">
      <alignment horizontal="center" vertical="center"/>
    </xf>
    <xf numFmtId="2" fontId="0" fillId="10" borderId="68" xfId="0" applyNumberFormat="1" applyFill="1" applyBorder="1" applyAlignment="1">
      <alignment horizontal="center" vertical="center"/>
    </xf>
    <xf numFmtId="2" fontId="0" fillId="12" borderId="59" xfId="0" applyNumberFormat="1" applyFill="1" applyBorder="1" applyAlignment="1">
      <alignment horizontal="center" vertical="center"/>
    </xf>
    <xf numFmtId="2" fontId="0" fillId="12" borderId="55" xfId="0" applyNumberFormat="1" applyFill="1" applyBorder="1" applyAlignment="1">
      <alignment horizontal="center" vertical="center"/>
    </xf>
    <xf numFmtId="2" fontId="8" fillId="0" borderId="0" xfId="0" applyNumberFormat="1" applyFont="1" applyFill="1" applyBorder="1" applyAlignment="1">
      <alignment horizontal="left" vertical="center"/>
    </xf>
    <xf numFmtId="2" fontId="11" fillId="0" borderId="0" xfId="0" applyNumberFormat="1" applyFont="1" applyFill="1" applyBorder="1"/>
    <xf numFmtId="2" fontId="8" fillId="0" borderId="0" xfId="0" applyNumberFormat="1" applyFont="1" applyFill="1" applyAlignment="1">
      <alignment horizontal="left" vertical="center"/>
    </xf>
    <xf numFmtId="2" fontId="12" fillId="0" borderId="0" xfId="0" applyNumberFormat="1" applyFont="1" applyFill="1"/>
    <xf numFmtId="2" fontId="12" fillId="0" borderId="0" xfId="0" applyNumberFormat="1" applyFont="1" applyFill="1" applyAlignment="1">
      <alignment vertical="center"/>
    </xf>
    <xf numFmtId="49" fontId="8" fillId="0" borderId="0" xfId="0" applyNumberFormat="1" applyFont="1" applyFill="1" applyAlignment="1">
      <alignment horizontal="left" vertical="center"/>
    </xf>
    <xf numFmtId="49" fontId="38" fillId="0" borderId="0" xfId="0" applyNumberFormat="1" applyFont="1" applyFill="1" applyAlignment="1">
      <alignment horizontal="center" vertical="center"/>
    </xf>
    <xf numFmtId="0" fontId="23" fillId="0" borderId="0" xfId="0" applyFont="1" applyFill="1"/>
    <xf numFmtId="0" fontId="23" fillId="5" borderId="0" xfId="0" applyFont="1" applyFill="1"/>
    <xf numFmtId="0" fontId="7" fillId="0" borderId="28" xfId="0" applyFont="1" applyBorder="1" applyAlignment="1">
      <alignment horizontal="center" vertical="center" wrapText="1"/>
    </xf>
    <xf numFmtId="0" fontId="23" fillId="7" borderId="0" xfId="0" applyFont="1" applyFill="1"/>
    <xf numFmtId="4" fontId="8" fillId="0" borderId="0" xfId="0" applyNumberFormat="1" applyFont="1" applyFill="1" applyAlignment="1">
      <alignment horizontal="left" vertical="center"/>
    </xf>
    <xf numFmtId="0" fontId="16" fillId="3" borderId="0" xfId="0" applyFont="1" applyFill="1" applyAlignment="1">
      <alignment horizontal="left" vertical="center"/>
    </xf>
    <xf numFmtId="0" fontId="15" fillId="3" borderId="0" xfId="0" applyFont="1" applyFill="1"/>
    <xf numFmtId="2" fontId="16" fillId="3" borderId="0" xfId="0" applyNumberFormat="1" applyFont="1" applyFill="1" applyAlignment="1">
      <alignment horizontal="left" vertical="center"/>
    </xf>
    <xf numFmtId="0" fontId="7" fillId="0" borderId="10" xfId="0" applyFont="1" applyBorder="1" applyAlignment="1">
      <alignment horizontal="center" vertical="center" wrapText="1"/>
    </xf>
    <xf numFmtId="0" fontId="39" fillId="0" borderId="0" xfId="0" applyFont="1" applyFill="1"/>
    <xf numFmtId="0" fontId="8" fillId="0" borderId="0" xfId="0" applyFont="1" applyFill="1" applyAlignment="1">
      <alignment horizontal="left" vertical="center" wrapText="1"/>
    </xf>
    <xf numFmtId="0" fontId="39" fillId="0" borderId="0" xfId="0" applyFont="1" applyFill="1" applyAlignment="1">
      <alignment vertical="center" wrapText="1"/>
    </xf>
    <xf numFmtId="0" fontId="18" fillId="0" borderId="0" xfId="0" applyFont="1" applyFill="1" applyAlignment="1">
      <alignment wrapText="1"/>
    </xf>
    <xf numFmtId="0" fontId="18" fillId="0" borderId="0" xfId="0" applyFont="1" applyAlignment="1">
      <alignment wrapText="1"/>
    </xf>
    <xf numFmtId="0" fontId="18" fillId="0" borderId="0" xfId="0" applyFont="1" applyFill="1" applyAlignment="1">
      <alignment vertical="center"/>
    </xf>
    <xf numFmtId="0" fontId="18" fillId="0" borderId="0" xfId="0" applyFont="1" applyAlignment="1">
      <alignment vertical="center"/>
    </xf>
    <xf numFmtId="0" fontId="25" fillId="0" borderId="0" xfId="0" applyFont="1" applyFill="1" applyAlignment="1">
      <alignment horizontal="left" vertical="top"/>
    </xf>
    <xf numFmtId="49" fontId="12" fillId="0" borderId="0" xfId="9" applyNumberFormat="1" applyFont="1" applyFill="1" applyAlignment="1">
      <alignment horizontal="center" vertical="top"/>
    </xf>
    <xf numFmtId="0" fontId="0" fillId="0" borderId="87" xfId="0" applyFill="1" applyBorder="1" applyAlignment="1">
      <alignment horizontal="center"/>
    </xf>
    <xf numFmtId="0" fontId="0" fillId="0" borderId="0" xfId="0" applyBorder="1" applyAlignment="1">
      <alignment horizontal="center" vertical="center"/>
    </xf>
    <xf numFmtId="0" fontId="0" fillId="0" borderId="61" xfId="0" applyBorder="1" applyAlignment="1">
      <alignment horizontal="center" vertical="center" wrapText="1"/>
    </xf>
    <xf numFmtId="0" fontId="37" fillId="0" borderId="81" xfId="0" applyFont="1" applyBorder="1" applyAlignment="1">
      <alignment horizontal="center" vertical="center" wrapText="1"/>
    </xf>
    <xf numFmtId="0" fontId="37" fillId="0" borderId="82" xfId="0" applyFont="1" applyBorder="1" applyAlignment="1">
      <alignment horizontal="center" vertical="center"/>
    </xf>
    <xf numFmtId="2" fontId="37" fillId="0" borderId="82" xfId="0" applyNumberFormat="1" applyFont="1" applyBorder="1" applyAlignment="1">
      <alignment horizontal="center" vertical="center"/>
    </xf>
    <xf numFmtId="2" fontId="37" fillId="0" borderId="82" xfId="0" applyNumberFormat="1" applyFont="1" applyFill="1" applyBorder="1" applyAlignment="1">
      <alignment horizontal="center" vertical="center"/>
    </xf>
    <xf numFmtId="2" fontId="37" fillId="0" borderId="84" xfId="0" applyNumberFormat="1" applyFont="1" applyBorder="1" applyAlignment="1">
      <alignment horizontal="center" vertical="center"/>
    </xf>
    <xf numFmtId="0" fontId="37" fillId="0" borderId="84" xfId="0" applyFont="1" applyBorder="1" applyAlignment="1">
      <alignment horizontal="center" vertical="center"/>
    </xf>
    <xf numFmtId="0" fontId="0" fillId="0" borderId="70" xfId="0" applyFont="1" applyBorder="1" applyAlignment="1">
      <alignment horizontal="center" vertical="center"/>
    </xf>
    <xf numFmtId="2" fontId="0" fillId="0" borderId="69" xfId="0" applyNumberFormat="1" applyFont="1" applyBorder="1" applyAlignment="1">
      <alignment horizontal="center" vertical="center"/>
    </xf>
    <xf numFmtId="0" fontId="0" fillId="12" borderId="59" xfId="0" applyFill="1" applyBorder="1" applyAlignment="1">
      <alignment horizontal="center" vertical="center"/>
    </xf>
    <xf numFmtId="0" fontId="0" fillId="0" borderId="55" xfId="0" applyFill="1" applyBorder="1" applyAlignment="1">
      <alignment horizontal="center" vertical="center"/>
    </xf>
    <xf numFmtId="0" fontId="40" fillId="7" borderId="28" xfId="0" applyFont="1" applyFill="1" applyBorder="1" applyAlignment="1">
      <alignment horizontal="center" vertical="center"/>
    </xf>
    <xf numFmtId="0" fontId="40" fillId="7" borderId="10" xfId="0" applyFont="1" applyFill="1" applyBorder="1" applyAlignment="1">
      <alignment horizontal="left" vertical="center" wrapText="1"/>
    </xf>
    <xf numFmtId="0" fontId="40" fillId="7" borderId="10" xfId="0" applyFont="1" applyFill="1" applyBorder="1" applyAlignment="1">
      <alignment horizontal="center" vertical="center" wrapText="1"/>
    </xf>
    <xf numFmtId="4" fontId="40" fillId="7" borderId="17" xfId="0" applyNumberFormat="1" applyFont="1" applyFill="1" applyBorder="1" applyAlignment="1">
      <alignment horizontal="center" vertical="center" wrapText="1"/>
    </xf>
    <xf numFmtId="4" fontId="40" fillId="7" borderId="10" xfId="0" applyNumberFormat="1" applyFont="1" applyFill="1" applyBorder="1" applyAlignment="1">
      <alignment horizontal="center" vertical="center" wrapText="1"/>
    </xf>
    <xf numFmtId="4" fontId="40" fillId="7" borderId="20" xfId="0" applyNumberFormat="1" applyFont="1" applyFill="1" applyBorder="1"/>
    <xf numFmtId="4" fontId="40" fillId="7" borderId="17" xfId="0" applyNumberFormat="1" applyFont="1" applyFill="1" applyBorder="1" applyAlignment="1">
      <alignment horizontal="center" vertical="center"/>
    </xf>
    <xf numFmtId="4" fontId="40" fillId="7" borderId="10" xfId="0" applyNumberFormat="1" applyFont="1" applyFill="1" applyBorder="1" applyAlignment="1">
      <alignment horizontal="center" vertical="center"/>
    </xf>
    <xf numFmtId="4" fontId="40" fillId="7" borderId="20" xfId="0" applyNumberFormat="1" applyFont="1" applyFill="1" applyBorder="1" applyAlignment="1">
      <alignment horizontal="center" vertical="center"/>
    </xf>
    <xf numFmtId="2" fontId="2" fillId="0" borderId="84" xfId="0" applyNumberFormat="1" applyFont="1" applyBorder="1" applyAlignment="1">
      <alignment horizontal="center" vertical="center"/>
    </xf>
    <xf numFmtId="0" fontId="40" fillId="4" borderId="28" xfId="0" applyFont="1" applyFill="1" applyBorder="1" applyAlignment="1">
      <alignment horizontal="center" vertical="center"/>
    </xf>
    <xf numFmtId="0" fontId="40" fillId="4" borderId="10" xfId="0" applyFont="1" applyFill="1" applyBorder="1" applyAlignment="1">
      <alignment horizontal="left" vertical="center" wrapText="1"/>
    </xf>
    <xf numFmtId="0" fontId="40" fillId="4" borderId="10" xfId="0" applyFont="1" applyFill="1" applyBorder="1" applyAlignment="1">
      <alignment horizontal="center" vertical="center" wrapText="1"/>
    </xf>
    <xf numFmtId="0" fontId="40" fillId="4" borderId="29" xfId="0" applyFont="1" applyFill="1" applyBorder="1" applyAlignment="1">
      <alignment horizontal="center" vertical="center" wrapText="1"/>
    </xf>
    <xf numFmtId="4" fontId="40" fillId="4" borderId="17" xfId="0" applyNumberFormat="1" applyFont="1" applyFill="1" applyBorder="1" applyAlignment="1">
      <alignment horizontal="center" vertical="center" wrapText="1"/>
    </xf>
    <xf numFmtId="4" fontId="40" fillId="4" borderId="10" xfId="0" applyNumberFormat="1" applyFont="1" applyFill="1" applyBorder="1" applyAlignment="1">
      <alignment horizontal="center" vertical="center" wrapText="1"/>
    </xf>
    <xf numFmtId="4" fontId="40" fillId="4" borderId="20" xfId="0" applyNumberFormat="1" applyFont="1" applyFill="1" applyBorder="1"/>
    <xf numFmtId="4" fontId="40" fillId="4" borderId="30" xfId="0" applyNumberFormat="1" applyFont="1" applyFill="1" applyBorder="1" applyAlignment="1">
      <alignment horizontal="center" vertical="center"/>
    </xf>
    <xf numFmtId="4" fontId="40" fillId="4" borderId="10" xfId="0" applyNumberFormat="1" applyFont="1" applyFill="1" applyBorder="1" applyAlignment="1">
      <alignment horizontal="center" vertical="center"/>
    </xf>
    <xf numFmtId="4" fontId="40" fillId="4" borderId="20" xfId="0" applyNumberFormat="1" applyFont="1" applyFill="1" applyBorder="1" applyAlignment="1">
      <alignment horizontal="center" vertical="center"/>
    </xf>
    <xf numFmtId="0" fontId="41" fillId="4" borderId="21" xfId="0" applyFont="1" applyFill="1" applyBorder="1" applyAlignment="1">
      <alignment horizontal="center" vertical="center" wrapText="1"/>
    </xf>
    <xf numFmtId="49" fontId="31" fillId="7" borderId="33" xfId="0" applyNumberFormat="1" applyFont="1" applyFill="1" applyBorder="1" applyAlignment="1">
      <alignment horizontal="center" vertical="center" wrapText="1"/>
    </xf>
    <xf numFmtId="0" fontId="25" fillId="0" borderId="0" xfId="0" applyFont="1" applyFill="1" applyAlignment="1">
      <alignment horizontal="center"/>
    </xf>
    <xf numFmtId="0" fontId="25" fillId="0" borderId="0" xfId="0" applyFont="1" applyFill="1"/>
    <xf numFmtId="0" fontId="25" fillId="0" borderId="0" xfId="0" applyFont="1" applyFill="1" applyAlignment="1">
      <alignment horizontal="center" vertical="center"/>
    </xf>
    <xf numFmtId="0" fontId="25" fillId="0" borderId="0" xfId="0" applyFont="1" applyFill="1" applyAlignment="1">
      <alignment horizontal="right"/>
    </xf>
    <xf numFmtId="49" fontId="25" fillId="0" borderId="0" xfId="0" applyNumberFormat="1" applyFont="1" applyFill="1" applyAlignment="1">
      <alignment horizontal="center" vertical="center"/>
    </xf>
    <xf numFmtId="0" fontId="22" fillId="0" borderId="0" xfId="0" applyFont="1" applyFill="1" applyAlignment="1">
      <alignment horizontal="left" vertical="center" indent="1"/>
    </xf>
    <xf numFmtId="0" fontId="25" fillId="0" borderId="0" xfId="0" applyFont="1" applyFill="1" applyAlignment="1">
      <alignment horizontal="left" vertical="top" indent="1"/>
    </xf>
    <xf numFmtId="2" fontId="25" fillId="0" borderId="0" xfId="4" applyNumberFormat="1" applyFont="1" applyFill="1" applyAlignment="1">
      <alignment horizontal="left" vertical="top" indent="1"/>
    </xf>
    <xf numFmtId="165" fontId="25" fillId="0" borderId="0" xfId="4" applyFont="1" applyFill="1" applyAlignment="1">
      <alignment horizontal="left" vertical="top" indent="1"/>
    </xf>
    <xf numFmtId="4" fontId="25" fillId="0" borderId="0" xfId="0" applyNumberFormat="1" applyFont="1" applyFill="1" applyAlignment="1">
      <alignment horizontal="left" vertical="top" indent="1"/>
    </xf>
    <xf numFmtId="2" fontId="25" fillId="0" borderId="0" xfId="0" applyNumberFormat="1" applyFont="1" applyFill="1" applyAlignment="1">
      <alignment horizontal="left" vertical="top" wrapText="1" indent="1"/>
    </xf>
    <xf numFmtId="0" fontId="23" fillId="0" borderId="0" xfId="9" applyNumberFormat="1" applyFont="1" applyAlignment="1">
      <alignment horizontal="left" vertical="center"/>
    </xf>
    <xf numFmtId="0" fontId="25" fillId="0" borderId="0" xfId="9" applyNumberFormat="1" applyFont="1" applyFill="1" applyBorder="1" applyAlignment="1">
      <alignment vertical="center" wrapText="1"/>
    </xf>
    <xf numFmtId="0" fontId="17" fillId="7" borderId="28" xfId="0" applyFont="1" applyFill="1" applyBorder="1" applyAlignment="1">
      <alignment horizontal="center" vertical="center"/>
    </xf>
    <xf numFmtId="0" fontId="17" fillId="7" borderId="10" xfId="0" applyFont="1" applyFill="1" applyBorder="1" applyAlignment="1">
      <alignment horizontal="center" vertical="center" wrapText="1"/>
    </xf>
    <xf numFmtId="0" fontId="17" fillId="7" borderId="29" xfId="0" applyFont="1" applyFill="1" applyBorder="1" applyAlignment="1">
      <alignment horizontal="center" vertical="center" wrapText="1"/>
    </xf>
    <xf numFmtId="4" fontId="17" fillId="7" borderId="17" xfId="0" applyNumberFormat="1" applyFont="1" applyFill="1" applyBorder="1" applyAlignment="1">
      <alignment horizontal="center" vertical="center" wrapText="1"/>
    </xf>
    <xf numFmtId="4" fontId="17" fillId="7" borderId="10" xfId="0" applyNumberFormat="1" applyFont="1" applyFill="1" applyBorder="1" applyAlignment="1">
      <alignment horizontal="center" vertical="center" wrapText="1"/>
    </xf>
    <xf numFmtId="4" fontId="17" fillId="7" borderId="20" xfId="0" applyNumberFormat="1" applyFont="1" applyFill="1" applyBorder="1"/>
    <xf numFmtId="0" fontId="11" fillId="3" borderId="21" xfId="0" applyFont="1" applyFill="1" applyBorder="1" applyAlignment="1">
      <alignment horizontal="center" vertical="center" wrapText="1"/>
    </xf>
    <xf numFmtId="2" fontId="7" fillId="6" borderId="18" xfId="0" applyNumberFormat="1" applyFont="1" applyFill="1" applyBorder="1" applyAlignment="1">
      <alignment horizontal="center" vertical="center" wrapText="1"/>
    </xf>
    <xf numFmtId="0" fontId="31" fillId="0" borderId="10" xfId="0" applyFont="1" applyFill="1" applyBorder="1" applyAlignment="1">
      <alignment horizontal="left" vertical="center" wrapText="1"/>
    </xf>
    <xf numFmtId="0" fontId="31" fillId="0" borderId="31" xfId="0" applyFont="1" applyFill="1" applyBorder="1" applyAlignment="1">
      <alignment vertical="center" wrapText="1"/>
    </xf>
    <xf numFmtId="0" fontId="31" fillId="0" borderId="31" xfId="0" applyFont="1" applyBorder="1" applyAlignment="1">
      <alignment horizontal="center" vertical="center" wrapText="1"/>
    </xf>
    <xf numFmtId="4" fontId="31" fillId="0" borderId="35" xfId="0" applyNumberFormat="1" applyFont="1" applyFill="1" applyBorder="1" applyAlignment="1">
      <alignment horizontal="center" vertical="center" wrapText="1"/>
    </xf>
    <xf numFmtId="4" fontId="31" fillId="0" borderId="20" xfId="4" applyNumberFormat="1" applyFont="1" applyBorder="1" applyAlignment="1">
      <alignment horizontal="center" vertical="center" wrapText="1"/>
    </xf>
    <xf numFmtId="4" fontId="31" fillId="0" borderId="17" xfId="4" applyNumberFormat="1" applyFont="1" applyBorder="1" applyAlignment="1">
      <alignment horizontal="center" vertical="center" wrapText="1"/>
    </xf>
    <xf numFmtId="4" fontId="31" fillId="0" borderId="10" xfId="4" applyNumberFormat="1" applyFont="1" applyBorder="1" applyAlignment="1">
      <alignment horizontal="center" vertical="center" wrapText="1"/>
    </xf>
    <xf numFmtId="4" fontId="31" fillId="0" borderId="20" xfId="4" applyNumberFormat="1" applyFont="1" applyBorder="1" applyAlignment="1">
      <alignment horizontal="center" vertical="center"/>
    </xf>
    <xf numFmtId="2" fontId="31" fillId="0" borderId="10" xfId="0" applyNumberFormat="1" applyFont="1" applyFill="1" applyBorder="1" applyAlignment="1">
      <alignment horizontal="center" vertical="center" wrapText="1"/>
    </xf>
    <xf numFmtId="49" fontId="31" fillId="0" borderId="33" xfId="0" applyNumberFormat="1" applyFont="1" applyFill="1" applyBorder="1" applyAlignment="1">
      <alignment horizontal="center" vertical="center" wrapText="1"/>
    </xf>
    <xf numFmtId="49" fontId="31" fillId="0" borderId="34" xfId="0" applyNumberFormat="1" applyFont="1" applyFill="1" applyBorder="1" applyAlignment="1">
      <alignment horizontal="center" vertical="center" wrapText="1"/>
    </xf>
    <xf numFmtId="0" fontId="31" fillId="3" borderId="36" xfId="0" applyFont="1" applyFill="1" applyBorder="1" applyAlignment="1">
      <alignment horizontal="center" vertical="center" wrapText="1"/>
    </xf>
    <xf numFmtId="0" fontId="31" fillId="3" borderId="10" xfId="0" applyFont="1" applyFill="1" applyBorder="1" applyAlignment="1">
      <alignment horizontal="left" vertical="center" wrapText="1"/>
    </xf>
    <xf numFmtId="0" fontId="31" fillId="0" borderId="10" xfId="0" applyFont="1" applyFill="1" applyBorder="1" applyAlignment="1">
      <alignment horizontal="center" vertical="center" wrapText="1"/>
    </xf>
    <xf numFmtId="4" fontId="40" fillId="7" borderId="29" xfId="0" applyNumberFormat="1" applyFont="1" applyFill="1" applyBorder="1" applyAlignment="1">
      <alignment horizontal="center" vertical="center" wrapText="1"/>
    </xf>
    <xf numFmtId="0" fontId="41" fillId="7" borderId="21" xfId="0" applyFont="1" applyFill="1" applyBorder="1" applyAlignment="1">
      <alignment horizontal="center" vertical="center" wrapText="1"/>
    </xf>
    <xf numFmtId="0" fontId="32" fillId="3" borderId="10" xfId="0" applyFont="1" applyFill="1" applyBorder="1" applyAlignment="1">
      <alignment horizontal="right" vertical="center" wrapText="1"/>
    </xf>
    <xf numFmtId="0" fontId="32" fillId="3" borderId="10" xfId="0" applyFont="1" applyFill="1" applyBorder="1" applyAlignment="1">
      <alignment horizontal="center" vertical="center" wrapText="1"/>
    </xf>
    <xf numFmtId="0" fontId="32" fillId="0" borderId="10" xfId="0" applyFont="1" applyFill="1" applyBorder="1" applyAlignment="1">
      <alignment horizontal="center" vertical="center" wrapText="1"/>
    </xf>
    <xf numFmtId="0" fontId="31" fillId="0" borderId="29" xfId="0" applyFont="1" applyFill="1" applyBorder="1" applyAlignment="1">
      <alignment horizontal="center" vertical="center" wrapText="1"/>
    </xf>
    <xf numFmtId="166" fontId="32" fillId="0" borderId="10" xfId="0" applyNumberFormat="1" applyFont="1" applyFill="1" applyBorder="1" applyAlignment="1">
      <alignment horizontal="center" vertical="center" wrapText="1"/>
    </xf>
    <xf numFmtId="0" fontId="32" fillId="0" borderId="10" xfId="0" applyNumberFormat="1" applyFont="1" applyBorder="1" applyAlignment="1">
      <alignment horizontal="center" vertical="center" wrapText="1"/>
    </xf>
    <xf numFmtId="0" fontId="31" fillId="3" borderId="10" xfId="0" applyFont="1" applyFill="1" applyBorder="1" applyAlignment="1">
      <alignment horizontal="center" vertical="center" wrapText="1"/>
    </xf>
    <xf numFmtId="0" fontId="32" fillId="0" borderId="10" xfId="0" applyNumberFormat="1" applyFont="1" applyFill="1" applyBorder="1" applyAlignment="1">
      <alignment horizontal="center" vertical="center" wrapText="1"/>
    </xf>
    <xf numFmtId="0" fontId="32" fillId="0" borderId="10" xfId="0" applyFont="1" applyFill="1" applyBorder="1" applyAlignment="1">
      <alignment horizontal="right" vertical="center" wrapText="1"/>
    </xf>
    <xf numFmtId="2" fontId="32" fillId="6" borderId="33" xfId="0" applyNumberFormat="1" applyFont="1" applyFill="1" applyBorder="1" applyAlignment="1">
      <alignment horizontal="center" vertical="center" wrapText="1"/>
    </xf>
    <xf numFmtId="2" fontId="32" fillId="0" borderId="31" xfId="0" applyNumberFormat="1" applyFont="1" applyFill="1" applyBorder="1" applyAlignment="1">
      <alignment horizontal="center" vertical="center" wrapText="1"/>
    </xf>
    <xf numFmtId="2" fontId="32" fillId="0" borderId="37" xfId="0" applyNumberFormat="1" applyFont="1" applyFill="1" applyBorder="1" applyAlignment="1">
      <alignment horizontal="center" vertical="center" wrapText="1"/>
    </xf>
    <xf numFmtId="2" fontId="32" fillId="0" borderId="33" xfId="0" applyNumberFormat="1" applyFont="1" applyFill="1" applyBorder="1" applyAlignment="1">
      <alignment horizontal="center" vertical="center" wrapText="1"/>
    </xf>
    <xf numFmtId="0" fontId="13" fillId="0" borderId="36" xfId="0" applyFont="1" applyFill="1" applyBorder="1" applyAlignment="1">
      <alignment horizontal="center" vertical="center" wrapText="1"/>
    </xf>
    <xf numFmtId="167" fontId="31" fillId="0" borderId="29" xfId="0" applyNumberFormat="1" applyFont="1" applyFill="1" applyBorder="1" applyAlignment="1">
      <alignment horizontal="center" vertical="center" wrapText="1"/>
    </xf>
    <xf numFmtId="0" fontId="13" fillId="3" borderId="21" xfId="0" applyFont="1" applyFill="1" applyBorder="1" applyAlignment="1">
      <alignment horizontal="center" vertical="center" wrapText="1"/>
    </xf>
    <xf numFmtId="0" fontId="4" fillId="3" borderId="21" xfId="0" applyFont="1" applyFill="1" applyBorder="1" applyAlignment="1">
      <alignment horizontal="center" vertical="center" wrapText="1"/>
    </xf>
    <xf numFmtId="49" fontId="31" fillId="0" borderId="17" xfId="0" applyNumberFormat="1" applyFont="1" applyFill="1" applyBorder="1" applyAlignment="1">
      <alignment horizontal="center" vertical="center" wrapText="1"/>
    </xf>
    <xf numFmtId="49" fontId="32" fillId="0" borderId="17" xfId="0" applyNumberFormat="1" applyFont="1" applyFill="1" applyBorder="1" applyAlignment="1">
      <alignment horizontal="center" vertical="center" wrapText="1"/>
    </xf>
    <xf numFmtId="0" fontId="31" fillId="0" borderId="28" xfId="0" applyFont="1" applyBorder="1" applyAlignment="1">
      <alignment horizontal="center" vertical="center" wrapText="1"/>
    </xf>
    <xf numFmtId="0" fontId="31" fillId="0" borderId="10" xfId="0" applyFont="1" applyBorder="1" applyAlignment="1">
      <alignment vertical="center" wrapText="1"/>
    </xf>
    <xf numFmtId="0" fontId="31" fillId="0" borderId="10" xfId="0" applyFont="1" applyBorder="1" applyAlignment="1">
      <alignment horizontal="center" vertical="center" wrapText="1"/>
    </xf>
    <xf numFmtId="4" fontId="40" fillId="0" borderId="19" xfId="0" applyNumberFormat="1" applyFont="1" applyFill="1" applyBorder="1" applyAlignment="1">
      <alignment horizontal="center" vertical="center" wrapText="1"/>
    </xf>
    <xf numFmtId="0" fontId="32" fillId="0" borderId="10" xfId="5" applyFont="1" applyFill="1" applyBorder="1" applyAlignment="1">
      <alignment horizontal="center" vertical="center" wrapText="1"/>
    </xf>
    <xf numFmtId="2" fontId="32" fillId="0" borderId="10" xfId="0" applyNumberFormat="1" applyFont="1" applyBorder="1" applyAlignment="1">
      <alignment horizontal="right" vertical="center" wrapText="1"/>
    </xf>
    <xf numFmtId="2" fontId="32" fillId="0" borderId="10" xfId="0" applyNumberFormat="1" applyFont="1" applyBorder="1" applyAlignment="1">
      <alignment horizontal="center" vertical="center" wrapText="1"/>
    </xf>
    <xf numFmtId="0" fontId="32" fillId="0" borderId="10" xfId="0" applyFont="1" applyBorder="1" applyAlignment="1">
      <alignment horizontal="center" vertical="center" wrapText="1"/>
    </xf>
    <xf numFmtId="0" fontId="32" fillId="0" borderId="18" xfId="0" applyFont="1" applyBorder="1" applyAlignment="1">
      <alignment horizontal="center" vertical="center" wrapText="1"/>
    </xf>
    <xf numFmtId="4" fontId="32" fillId="0" borderId="19" xfId="0" applyNumberFormat="1" applyFont="1" applyFill="1" applyBorder="1" applyAlignment="1">
      <alignment horizontal="center" vertical="center" wrapText="1"/>
    </xf>
    <xf numFmtId="0" fontId="4" fillId="0" borderId="28" xfId="0" applyFont="1" applyBorder="1" applyAlignment="1">
      <alignment horizontal="center" vertical="center" wrapText="1"/>
    </xf>
    <xf numFmtId="0" fontId="4" fillId="0" borderId="10" xfId="0" applyFont="1" applyBorder="1" applyAlignment="1">
      <alignment horizontal="center" vertical="center" wrapText="1"/>
    </xf>
    <xf numFmtId="4" fontId="4" fillId="0" borderId="19" xfId="0" applyNumberFormat="1" applyFont="1" applyFill="1" applyBorder="1" applyAlignment="1">
      <alignment horizontal="center" vertical="center" wrapText="1"/>
    </xf>
    <xf numFmtId="2" fontId="4" fillId="6" borderId="38" xfId="0" applyNumberFormat="1" applyFont="1" applyFill="1" applyBorder="1" applyAlignment="1">
      <alignment horizontal="center" vertical="center" wrapText="1"/>
    </xf>
    <xf numFmtId="2" fontId="4" fillId="6" borderId="18" xfId="0" applyNumberFormat="1" applyFont="1" applyFill="1" applyBorder="1" applyAlignment="1">
      <alignment horizontal="center" vertical="center" wrapText="1"/>
    </xf>
    <xf numFmtId="4" fontId="4" fillId="0" borderId="20" xfId="4" applyNumberFormat="1" applyFont="1" applyBorder="1" applyAlignment="1">
      <alignment horizontal="center" vertical="center" wrapText="1"/>
    </xf>
    <xf numFmtId="4" fontId="4" fillId="0" borderId="17" xfId="4" applyNumberFormat="1" applyFont="1" applyBorder="1" applyAlignment="1">
      <alignment horizontal="center" vertical="center" wrapText="1"/>
    </xf>
    <xf numFmtId="4" fontId="4" fillId="0" borderId="10" xfId="4" applyNumberFormat="1" applyFont="1" applyBorder="1" applyAlignment="1">
      <alignment horizontal="center" vertical="center" wrapText="1"/>
    </xf>
    <xf numFmtId="4" fontId="4" fillId="0" borderId="20" xfId="4" applyNumberFormat="1" applyFont="1" applyBorder="1" applyAlignment="1">
      <alignment horizontal="center" vertical="center"/>
    </xf>
    <xf numFmtId="0" fontId="4" fillId="0" borderId="21" xfId="0" applyFont="1" applyBorder="1" applyAlignment="1">
      <alignment horizontal="center" vertical="center" wrapText="1"/>
    </xf>
    <xf numFmtId="0" fontId="40" fillId="7" borderId="29" xfId="0" applyFont="1" applyFill="1" applyBorder="1" applyAlignment="1">
      <alignment horizontal="center" vertical="center" wrapText="1"/>
    </xf>
    <xf numFmtId="4" fontId="31" fillId="0" borderId="19" xfId="0" applyNumberFormat="1" applyFont="1" applyFill="1" applyBorder="1" applyAlignment="1">
      <alignment horizontal="center" vertical="center" wrapText="1"/>
    </xf>
    <xf numFmtId="2" fontId="31" fillId="6" borderId="38" xfId="0" applyNumberFormat="1" applyFont="1" applyFill="1" applyBorder="1" applyAlignment="1">
      <alignment horizontal="center" vertical="center" wrapText="1"/>
    </xf>
    <xf numFmtId="2" fontId="31" fillId="6" borderId="18" xfId="0" applyNumberFormat="1" applyFont="1" applyFill="1" applyBorder="1" applyAlignment="1">
      <alignment horizontal="center" vertical="center" wrapText="1"/>
    </xf>
    <xf numFmtId="49" fontId="4" fillId="0" borderId="17" xfId="0" applyNumberFormat="1" applyFont="1" applyBorder="1" applyAlignment="1">
      <alignment horizontal="center" vertical="center" wrapText="1"/>
    </xf>
    <xf numFmtId="49" fontId="32" fillId="0" borderId="38" xfId="0" applyNumberFormat="1" applyFont="1" applyFill="1" applyBorder="1" applyAlignment="1">
      <alignment horizontal="center" vertical="center" wrapText="1"/>
    </xf>
    <xf numFmtId="4" fontId="32" fillId="3" borderId="18" xfId="0" applyNumberFormat="1" applyFont="1" applyFill="1" applyBorder="1" applyAlignment="1">
      <alignment horizontal="center" vertical="center" wrapText="1"/>
    </xf>
    <xf numFmtId="4" fontId="32" fillId="3" borderId="20" xfId="0" applyNumberFormat="1" applyFont="1" applyFill="1" applyBorder="1"/>
    <xf numFmtId="4" fontId="32" fillId="3" borderId="17" xfId="0" applyNumberFormat="1" applyFont="1" applyFill="1" applyBorder="1"/>
    <xf numFmtId="4" fontId="32" fillId="3" borderId="10" xfId="0" applyNumberFormat="1" applyFont="1" applyFill="1" applyBorder="1"/>
    <xf numFmtId="0" fontId="32" fillId="3" borderId="10" xfId="5" applyFont="1" applyFill="1" applyBorder="1" applyAlignment="1">
      <alignment horizontal="center" vertical="center" wrapText="1"/>
    </xf>
    <xf numFmtId="0" fontId="13" fillId="0" borderId="32" xfId="0" applyFont="1" applyBorder="1" applyAlignment="1">
      <alignment horizontal="center" vertical="center" wrapText="1"/>
    </xf>
    <xf numFmtId="49" fontId="32" fillId="0" borderId="39" xfId="0" applyNumberFormat="1" applyFont="1" applyFill="1" applyBorder="1" applyAlignment="1">
      <alignment horizontal="center" vertical="center" wrapText="1"/>
    </xf>
    <xf numFmtId="49" fontId="31" fillId="7" borderId="10" xfId="0" applyNumberFormat="1" applyFont="1" applyFill="1" applyBorder="1" applyAlignment="1">
      <alignment horizontal="center" vertical="center" wrapText="1"/>
    </xf>
    <xf numFmtId="0" fontId="31" fillId="0" borderId="10" xfId="0" applyFont="1" applyFill="1" applyBorder="1" applyAlignment="1">
      <alignment vertical="center" wrapText="1"/>
    </xf>
    <xf numFmtId="0" fontId="31" fillId="3" borderId="10" xfId="0" applyFont="1" applyFill="1" applyBorder="1" applyAlignment="1">
      <alignment vertical="center" wrapText="1"/>
    </xf>
    <xf numFmtId="4" fontId="31" fillId="0" borderId="17" xfId="0" applyNumberFormat="1" applyFont="1" applyFill="1" applyBorder="1" applyAlignment="1">
      <alignment horizontal="center" vertical="center" wrapText="1"/>
    </xf>
    <xf numFmtId="4" fontId="40" fillId="7" borderId="30" xfId="0" applyNumberFormat="1" applyFont="1" applyFill="1" applyBorder="1" applyAlignment="1">
      <alignment horizontal="center" vertical="center"/>
    </xf>
    <xf numFmtId="49" fontId="31" fillId="3" borderId="30" xfId="0" applyNumberFormat="1" applyFont="1" applyFill="1" applyBorder="1" applyAlignment="1">
      <alignment horizontal="center" vertical="center" wrapText="1"/>
    </xf>
    <xf numFmtId="0" fontId="31" fillId="0" borderId="32" xfId="0" applyFont="1" applyFill="1" applyBorder="1" applyAlignment="1">
      <alignment horizontal="center" vertical="center" wrapText="1"/>
    </xf>
    <xf numFmtId="0" fontId="41" fillId="0" borderId="21" xfId="0" applyFont="1" applyBorder="1" applyAlignment="1">
      <alignment horizontal="center" vertical="center" wrapText="1"/>
    </xf>
    <xf numFmtId="2" fontId="32" fillId="3" borderId="10" xfId="0" applyNumberFormat="1" applyFont="1" applyFill="1" applyBorder="1" applyAlignment="1">
      <alignment horizontal="center" vertical="center" wrapText="1"/>
    </xf>
    <xf numFmtId="0" fontId="13" fillId="0" borderId="21" xfId="0" applyFont="1" applyBorder="1" applyAlignment="1">
      <alignment horizontal="center" vertical="center" wrapText="1"/>
    </xf>
    <xf numFmtId="0" fontId="31" fillId="3" borderId="39" xfId="0" applyFont="1" applyFill="1" applyBorder="1" applyAlignment="1">
      <alignment horizontal="center" vertical="center" wrapText="1"/>
    </xf>
    <xf numFmtId="0" fontId="31" fillId="3" borderId="18" xfId="0" applyFont="1" applyFill="1" applyBorder="1" applyAlignment="1">
      <alignment horizontal="center" vertical="center" wrapText="1"/>
    </xf>
    <xf numFmtId="0" fontId="31" fillId="0" borderId="18" xfId="0" applyFont="1" applyBorder="1" applyAlignment="1">
      <alignment horizontal="center" vertical="center" wrapText="1"/>
    </xf>
    <xf numFmtId="0" fontId="32" fillId="3" borderId="31" xfId="0" applyFont="1" applyFill="1" applyBorder="1" applyAlignment="1">
      <alignment horizontal="center" vertical="center" wrapText="1"/>
    </xf>
    <xf numFmtId="0" fontId="32" fillId="0" borderId="31" xfId="0" applyFont="1" applyBorder="1" applyAlignment="1">
      <alignment horizontal="center" vertical="center" wrapText="1"/>
    </xf>
    <xf numFmtId="2" fontId="31" fillId="6" borderId="33" xfId="0" applyNumberFormat="1" applyFont="1" applyFill="1" applyBorder="1" applyAlignment="1">
      <alignment horizontal="center" vertical="center" wrapText="1"/>
    </xf>
    <xf numFmtId="4" fontId="32" fillId="3" borderId="31" xfId="0" applyNumberFormat="1" applyFont="1" applyFill="1" applyBorder="1" applyAlignment="1">
      <alignment horizontal="center" vertical="center" wrapText="1"/>
    </xf>
    <xf numFmtId="4" fontId="32" fillId="3" borderId="37" xfId="0" applyNumberFormat="1" applyFont="1" applyFill="1" applyBorder="1"/>
    <xf numFmtId="4" fontId="32" fillId="3" borderId="33" xfId="0" applyNumberFormat="1" applyFont="1" applyFill="1" applyBorder="1"/>
    <xf numFmtId="4" fontId="32" fillId="3" borderId="31" xfId="0" applyNumberFormat="1" applyFont="1" applyFill="1" applyBorder="1"/>
    <xf numFmtId="0" fontId="44" fillId="0" borderId="0" xfId="9" applyNumberFormat="1" applyFont="1" applyFill="1" applyBorder="1" applyAlignment="1">
      <alignment horizontal="left" vertical="center"/>
    </xf>
    <xf numFmtId="49" fontId="44" fillId="0" borderId="0" xfId="9" applyNumberFormat="1" applyFont="1" applyFill="1" applyBorder="1" applyAlignment="1">
      <alignment horizontal="left" vertical="center" wrapText="1" indent="1"/>
    </xf>
    <xf numFmtId="49" fontId="44" fillId="0" borderId="0" xfId="9" applyNumberFormat="1" applyFont="1" applyFill="1" applyBorder="1" applyAlignment="1">
      <alignment horizontal="left" vertical="center"/>
    </xf>
    <xf numFmtId="2" fontId="31" fillId="0" borderId="0" xfId="0" applyNumberFormat="1" applyFont="1" applyFill="1" applyAlignment="1">
      <alignment horizontal="right" vertical="center"/>
    </xf>
    <xf numFmtId="0" fontId="31" fillId="0" borderId="17" xfId="3" applyFont="1" applyBorder="1" applyAlignment="1">
      <alignment horizontal="center" vertical="center" wrapText="1"/>
    </xf>
    <xf numFmtId="4" fontId="31" fillId="0" borderId="10" xfId="1" applyNumberFormat="1" applyFont="1" applyFill="1" applyBorder="1" applyAlignment="1" applyProtection="1">
      <alignment horizontal="center" vertical="center" wrapText="1"/>
    </xf>
    <xf numFmtId="0" fontId="31" fillId="0" borderId="20" xfId="0" applyFont="1" applyFill="1" applyBorder="1" applyAlignment="1">
      <alignment horizontal="center" vertical="center" wrapText="1"/>
    </xf>
    <xf numFmtId="0" fontId="31" fillId="0" borderId="10" xfId="3" applyFont="1" applyBorder="1" applyAlignment="1">
      <alignment horizontal="center" vertical="center" wrapText="1"/>
    </xf>
    <xf numFmtId="0" fontId="31" fillId="0" borderId="20" xfId="3" applyFont="1" applyBorder="1" applyAlignment="1">
      <alignment horizontal="center" vertical="center" wrapText="1"/>
    </xf>
    <xf numFmtId="49" fontId="31" fillId="0" borderId="22" xfId="0" applyNumberFormat="1" applyFont="1" applyBorder="1" applyAlignment="1">
      <alignment horizontal="center" vertical="center" wrapText="1"/>
    </xf>
    <xf numFmtId="0" fontId="31" fillId="0" borderId="23" xfId="0" applyNumberFormat="1" applyFont="1" applyBorder="1" applyAlignment="1">
      <alignment horizontal="center" vertical="center" wrapText="1"/>
    </xf>
    <xf numFmtId="0" fontId="31" fillId="0" borderId="24" xfId="0" applyNumberFormat="1" applyFont="1" applyBorder="1" applyAlignment="1">
      <alignment horizontal="center" vertical="center" wrapText="1"/>
    </xf>
    <xf numFmtId="0" fontId="31" fillId="0" borderId="25" xfId="0" applyNumberFormat="1" applyFont="1" applyBorder="1" applyAlignment="1">
      <alignment horizontal="center" vertical="center" wrapText="1"/>
    </xf>
    <xf numFmtId="0" fontId="31" fillId="3" borderId="22" xfId="0" applyNumberFormat="1" applyFont="1" applyFill="1" applyBorder="1" applyAlignment="1">
      <alignment horizontal="center" vertical="center" wrapText="1"/>
    </xf>
    <xf numFmtId="0" fontId="31" fillId="3" borderId="24" xfId="0" applyNumberFormat="1" applyFont="1" applyFill="1" applyBorder="1" applyAlignment="1">
      <alignment horizontal="center" vertical="center" wrapText="1"/>
    </xf>
    <xf numFmtId="0" fontId="31" fillId="0" borderId="26" xfId="0" applyNumberFormat="1" applyFont="1" applyBorder="1" applyAlignment="1">
      <alignment horizontal="center" vertical="center" wrapText="1"/>
    </xf>
    <xf numFmtId="0" fontId="31" fillId="0" borderId="22" xfId="3" applyNumberFormat="1" applyFont="1" applyBorder="1" applyAlignment="1">
      <alignment horizontal="center" vertical="center" wrapText="1"/>
    </xf>
    <xf numFmtId="0" fontId="31" fillId="0" borderId="24" xfId="3" applyNumberFormat="1" applyFont="1" applyBorder="1" applyAlignment="1">
      <alignment horizontal="center" vertical="center" wrapText="1"/>
    </xf>
    <xf numFmtId="0" fontId="31" fillId="0" borderId="26" xfId="3" applyNumberFormat="1" applyFont="1" applyBorder="1" applyAlignment="1">
      <alignment horizontal="center" vertical="center" wrapText="1"/>
    </xf>
    <xf numFmtId="0" fontId="31" fillId="0" borderId="27" xfId="0" applyNumberFormat="1" applyFont="1" applyFill="1" applyBorder="1" applyAlignment="1">
      <alignment horizontal="center" vertical="center"/>
    </xf>
    <xf numFmtId="0" fontId="7" fillId="0" borderId="31" xfId="0" applyFont="1" applyFill="1" applyBorder="1" applyAlignment="1">
      <alignment vertical="center" wrapText="1"/>
    </xf>
    <xf numFmtId="0" fontId="7" fillId="0" borderId="31" xfId="0" applyFont="1" applyBorder="1" applyAlignment="1">
      <alignment horizontal="center" vertical="center" wrapText="1"/>
    </xf>
    <xf numFmtId="4" fontId="7" fillId="3" borderId="17" xfId="0" applyNumberFormat="1" applyFont="1" applyFill="1" applyBorder="1" applyAlignment="1">
      <alignment horizontal="center" vertical="center" wrapText="1"/>
    </xf>
    <xf numFmtId="49" fontId="7" fillId="3" borderId="10" xfId="0" applyNumberFormat="1" applyFont="1" applyFill="1" applyBorder="1" applyAlignment="1">
      <alignment horizontal="center" vertical="center" wrapText="1"/>
    </xf>
    <xf numFmtId="0" fontId="7" fillId="0" borderId="10" xfId="0" applyFont="1" applyFill="1" applyBorder="1" applyAlignment="1">
      <alignment vertical="center" wrapText="1"/>
    </xf>
    <xf numFmtId="49" fontId="14" fillId="0" borderId="39" xfId="0" applyNumberFormat="1" applyFont="1" applyFill="1" applyBorder="1" applyAlignment="1">
      <alignment horizontal="center" vertical="center" wrapText="1"/>
    </xf>
    <xf numFmtId="2" fontId="14" fillId="0" borderId="10" xfId="0" applyNumberFormat="1" applyFont="1" applyBorder="1" applyAlignment="1">
      <alignment horizontal="center" vertical="center" wrapText="1"/>
    </xf>
    <xf numFmtId="2" fontId="7" fillId="6" borderId="38" xfId="0" applyNumberFormat="1" applyFont="1" applyFill="1" applyBorder="1" applyAlignment="1">
      <alignment horizontal="center" vertical="center" wrapText="1"/>
    </xf>
    <xf numFmtId="0" fontId="11" fillId="0" borderId="32" xfId="0" applyFont="1" applyBorder="1" applyAlignment="1">
      <alignment horizontal="center" vertical="center" wrapText="1"/>
    </xf>
    <xf numFmtId="0" fontId="15" fillId="0" borderId="36" xfId="0" applyFont="1" applyBorder="1" applyAlignment="1">
      <alignment horizontal="center" vertical="center" wrapText="1"/>
    </xf>
    <xf numFmtId="167" fontId="32" fillId="0" borderId="10" xfId="0" applyNumberFormat="1" applyFont="1" applyFill="1" applyBorder="1" applyAlignment="1">
      <alignment horizontal="center" vertical="center" wrapText="1"/>
    </xf>
    <xf numFmtId="169" fontId="32" fillId="0" borderId="10" xfId="0" applyNumberFormat="1" applyFont="1" applyFill="1" applyBorder="1" applyAlignment="1">
      <alignment horizontal="center" vertical="center" wrapText="1"/>
    </xf>
    <xf numFmtId="0" fontId="40" fillId="3" borderId="10" xfId="0" applyFont="1" applyFill="1" applyBorder="1" applyAlignment="1">
      <alignment horizontal="left" vertical="center" wrapText="1"/>
    </xf>
    <xf numFmtId="0" fontId="17" fillId="3" borderId="10" xfId="0" applyFont="1" applyFill="1" applyBorder="1" applyAlignment="1">
      <alignment horizontal="left" vertical="center" wrapText="1"/>
    </xf>
    <xf numFmtId="0" fontId="46" fillId="0" borderId="0" xfId="0" applyFont="1" applyFill="1" applyAlignment="1">
      <alignment horizontal="left" vertical="center"/>
    </xf>
    <xf numFmtId="4" fontId="23" fillId="0" borderId="0" xfId="0" applyNumberFormat="1" applyFont="1" applyFill="1" applyAlignment="1">
      <alignment horizontal="left" vertical="center" wrapText="1"/>
    </xf>
    <xf numFmtId="0" fontId="40" fillId="4" borderId="33" xfId="0" applyNumberFormat="1" applyFont="1" applyFill="1" applyBorder="1" applyAlignment="1">
      <alignment horizontal="center" vertical="center"/>
    </xf>
    <xf numFmtId="0" fontId="40" fillId="13" borderId="17" xfId="0" applyNumberFormat="1" applyFont="1" applyFill="1" applyBorder="1" applyAlignment="1">
      <alignment horizontal="center" vertical="center"/>
    </xf>
    <xf numFmtId="0" fontId="40" fillId="13" borderId="28" xfId="0" applyFont="1" applyFill="1" applyBorder="1" applyAlignment="1">
      <alignment horizontal="center" vertical="center"/>
    </xf>
    <xf numFmtId="0" fontId="40" fillId="13" borderId="10" xfId="0" applyFont="1" applyFill="1" applyBorder="1" applyAlignment="1">
      <alignment horizontal="left" vertical="center" wrapText="1"/>
    </xf>
    <xf numFmtId="0" fontId="40" fillId="13" borderId="10" xfId="0" applyFont="1" applyFill="1" applyBorder="1" applyAlignment="1">
      <alignment horizontal="center" vertical="center" wrapText="1"/>
    </xf>
    <xf numFmtId="0" fontId="40" fillId="13" borderId="29" xfId="0" applyFont="1" applyFill="1" applyBorder="1" applyAlignment="1">
      <alignment horizontal="center" vertical="center" wrapText="1"/>
    </xf>
    <xf numFmtId="4" fontId="40" fillId="13" borderId="17" xfId="0" applyNumberFormat="1" applyFont="1" applyFill="1" applyBorder="1" applyAlignment="1">
      <alignment horizontal="center" vertical="center" wrapText="1"/>
    </xf>
    <xf numFmtId="4" fontId="40" fillId="13" borderId="10" xfId="0" applyNumberFormat="1" applyFont="1" applyFill="1" applyBorder="1" applyAlignment="1">
      <alignment horizontal="center" vertical="center" wrapText="1"/>
    </xf>
    <xf numFmtId="4" fontId="40" fillId="13" borderId="20" xfId="0" applyNumberFormat="1" applyFont="1" applyFill="1" applyBorder="1"/>
    <xf numFmtId="4" fontId="40" fillId="13" borderId="30" xfId="0" applyNumberFormat="1" applyFont="1" applyFill="1" applyBorder="1" applyAlignment="1">
      <alignment horizontal="center" vertical="center"/>
    </xf>
    <xf numFmtId="4" fontId="40" fillId="13" borderId="10" xfId="0" applyNumberFormat="1" applyFont="1" applyFill="1" applyBorder="1" applyAlignment="1">
      <alignment horizontal="center" vertical="center"/>
    </xf>
    <xf numFmtId="4" fontId="40" fillId="13" borderId="20" xfId="0" applyNumberFormat="1" applyFont="1" applyFill="1" applyBorder="1" applyAlignment="1">
      <alignment horizontal="center" vertical="center"/>
    </xf>
    <xf numFmtId="0" fontId="41" fillId="13" borderId="21" xfId="0" applyFont="1" applyFill="1" applyBorder="1" applyAlignment="1">
      <alignment horizontal="center" vertical="center" wrapText="1"/>
    </xf>
    <xf numFmtId="4" fontId="31" fillId="0" borderId="29" xfId="0" applyNumberFormat="1" applyFont="1" applyFill="1" applyBorder="1" applyAlignment="1">
      <alignment horizontal="center" vertical="center" wrapText="1"/>
    </xf>
    <xf numFmtId="0" fontId="13" fillId="0" borderId="0" xfId="0" applyFont="1" applyFill="1"/>
    <xf numFmtId="0" fontId="13" fillId="0" borderId="0" xfId="0" applyFont="1"/>
    <xf numFmtId="49" fontId="31" fillId="3" borderId="10" xfId="0" applyNumberFormat="1" applyFont="1" applyFill="1" applyBorder="1" applyAlignment="1">
      <alignment horizontal="center" vertical="center" wrapText="1"/>
    </xf>
    <xf numFmtId="49" fontId="47" fillId="0" borderId="17" xfId="0" applyNumberFormat="1" applyFont="1" applyFill="1" applyBorder="1" applyAlignment="1">
      <alignment horizontal="center" vertical="center" wrapText="1"/>
    </xf>
    <xf numFmtId="0" fontId="47" fillId="0" borderId="10" xfId="0" applyFont="1" applyFill="1" applyBorder="1" applyAlignment="1">
      <alignment horizontal="center" vertical="center" wrapText="1"/>
    </xf>
    <xf numFmtId="0" fontId="48" fillId="3" borderId="10" xfId="0" applyFont="1" applyFill="1" applyBorder="1" applyAlignment="1">
      <alignment horizontal="left" vertical="center" wrapText="1"/>
    </xf>
    <xf numFmtId="0" fontId="47" fillId="0" borderId="29" xfId="0" applyFont="1" applyFill="1" applyBorder="1" applyAlignment="1">
      <alignment horizontal="center" vertical="center" wrapText="1"/>
    </xf>
    <xf numFmtId="2" fontId="47" fillId="0" borderId="29" xfId="0" applyNumberFormat="1" applyFont="1" applyFill="1" applyBorder="1" applyAlignment="1">
      <alignment horizontal="center" vertical="center" wrapText="1"/>
    </xf>
    <xf numFmtId="4" fontId="47" fillId="3" borderId="17" xfId="0" applyNumberFormat="1" applyFont="1" applyFill="1" applyBorder="1" applyAlignment="1">
      <alignment horizontal="center" vertical="center" wrapText="1"/>
    </xf>
    <xf numFmtId="2" fontId="47" fillId="6" borderId="10" xfId="0" applyNumberFormat="1" applyFont="1" applyFill="1" applyBorder="1" applyAlignment="1">
      <alignment horizontal="center" vertical="center" wrapText="1"/>
    </xf>
    <xf numFmtId="2" fontId="47" fillId="0" borderId="20" xfId="0" applyNumberFormat="1" applyFont="1" applyFill="1" applyBorder="1" applyAlignment="1">
      <alignment horizontal="center" vertical="center" wrapText="1"/>
    </xf>
    <xf numFmtId="2" fontId="47" fillId="0" borderId="17" xfId="0" applyNumberFormat="1" applyFont="1" applyBorder="1" applyAlignment="1">
      <alignment horizontal="center" vertical="center" wrapText="1"/>
    </xf>
    <xf numFmtId="2" fontId="47" fillId="0" borderId="10" xfId="0" applyNumberFormat="1" applyFont="1" applyBorder="1" applyAlignment="1">
      <alignment horizontal="center" vertical="center" wrapText="1"/>
    </xf>
    <xf numFmtId="0" fontId="49" fillId="0" borderId="21" xfId="0" applyFont="1" applyFill="1" applyBorder="1" applyAlignment="1">
      <alignment horizontal="center" vertical="center" wrapText="1"/>
    </xf>
    <xf numFmtId="49" fontId="50" fillId="0" borderId="17" xfId="0" applyNumberFormat="1" applyFont="1" applyFill="1" applyBorder="1" applyAlignment="1">
      <alignment horizontal="center" vertical="center" wrapText="1"/>
    </xf>
    <xf numFmtId="0" fontId="50" fillId="0" borderId="10" xfId="0" applyNumberFormat="1" applyFont="1" applyBorder="1" applyAlignment="1">
      <alignment horizontal="center" vertical="center" wrapText="1"/>
    </xf>
    <xf numFmtId="0" fontId="50" fillId="0" borderId="10" xfId="0" applyFont="1" applyFill="1" applyBorder="1" applyAlignment="1">
      <alignment horizontal="right" vertical="center" wrapText="1"/>
    </xf>
    <xf numFmtId="0" fontId="50" fillId="3" borderId="10" xfId="0" applyFont="1" applyFill="1" applyBorder="1" applyAlignment="1">
      <alignment horizontal="center" vertical="center" wrapText="1"/>
    </xf>
    <xf numFmtId="166" fontId="50" fillId="0" borderId="10" xfId="0" applyNumberFormat="1" applyFont="1" applyFill="1" applyBorder="1" applyAlignment="1">
      <alignment horizontal="center" vertical="center" wrapText="1"/>
    </xf>
    <xf numFmtId="2" fontId="50" fillId="0" borderId="29" xfId="0" applyNumberFormat="1" applyFont="1" applyFill="1" applyBorder="1" applyAlignment="1">
      <alignment horizontal="center" vertical="center" wrapText="1"/>
    </xf>
    <xf numFmtId="2" fontId="50" fillId="6" borderId="17" xfId="0" applyNumberFormat="1" applyFont="1" applyFill="1" applyBorder="1" applyAlignment="1">
      <alignment horizontal="center" vertical="center" wrapText="1"/>
    </xf>
    <xf numFmtId="2" fontId="50" fillId="0" borderId="10" xfId="0" applyNumberFormat="1" applyFont="1" applyFill="1" applyBorder="1" applyAlignment="1">
      <alignment horizontal="center" vertical="center" wrapText="1"/>
    </xf>
    <xf numFmtId="2" fontId="50" fillId="0" borderId="20" xfId="0" applyNumberFormat="1" applyFont="1" applyFill="1" applyBorder="1" applyAlignment="1">
      <alignment horizontal="center" vertical="center" wrapText="1"/>
    </xf>
    <xf numFmtId="2" fontId="50" fillId="0" borderId="17" xfId="0" applyNumberFormat="1" applyFont="1" applyFill="1" applyBorder="1" applyAlignment="1">
      <alignment horizontal="center" vertical="center" wrapText="1"/>
    </xf>
    <xf numFmtId="0" fontId="51" fillId="0" borderId="21" xfId="0" applyFont="1" applyFill="1" applyBorder="1" applyAlignment="1">
      <alignment horizontal="center" vertical="center" wrapText="1"/>
    </xf>
    <xf numFmtId="0" fontId="47" fillId="3" borderId="10" xfId="0" applyFont="1" applyFill="1" applyBorder="1" applyAlignment="1">
      <alignment horizontal="left" vertical="center" wrapText="1"/>
    </xf>
    <xf numFmtId="167" fontId="50" fillId="0" borderId="10" xfId="0" applyNumberFormat="1" applyFont="1" applyFill="1" applyBorder="1" applyAlignment="1">
      <alignment horizontal="center" vertical="center" wrapText="1"/>
    </xf>
    <xf numFmtId="0" fontId="50" fillId="3" borderId="10" xfId="0" applyFont="1" applyFill="1" applyBorder="1" applyAlignment="1">
      <alignment horizontal="right" vertical="center" wrapText="1"/>
    </xf>
    <xf numFmtId="0" fontId="50" fillId="0" borderId="10" xfId="0" applyFont="1" applyFill="1" applyBorder="1" applyAlignment="1">
      <alignment horizontal="center" vertical="center" wrapText="1"/>
    </xf>
    <xf numFmtId="167" fontId="47" fillId="0" borderId="29" xfId="0" applyNumberFormat="1" applyFont="1" applyFill="1" applyBorder="1" applyAlignment="1">
      <alignment horizontal="center" vertical="center" wrapText="1"/>
    </xf>
    <xf numFmtId="0" fontId="49" fillId="3" borderId="21" xfId="0" applyFont="1" applyFill="1" applyBorder="1" applyAlignment="1">
      <alignment horizontal="center" vertical="center" wrapText="1"/>
    </xf>
    <xf numFmtId="0" fontId="51" fillId="3" borderId="21" xfId="0" applyFont="1" applyFill="1" applyBorder="1" applyAlignment="1">
      <alignment horizontal="center" vertical="center" wrapText="1"/>
    </xf>
    <xf numFmtId="0" fontId="47" fillId="3" borderId="10" xfId="0" applyFont="1" applyFill="1" applyBorder="1" applyAlignment="1">
      <alignment horizontal="center" vertical="center" wrapText="1"/>
    </xf>
    <xf numFmtId="0" fontId="47" fillId="0" borderId="10" xfId="0" applyFont="1" applyFill="1" applyBorder="1" applyAlignment="1">
      <alignment horizontal="left" vertical="center" wrapText="1"/>
    </xf>
    <xf numFmtId="0" fontId="50" fillId="0" borderId="10" xfId="0" applyNumberFormat="1" applyFont="1" applyFill="1" applyBorder="1" applyAlignment="1">
      <alignment horizontal="center" vertical="center" wrapText="1"/>
    </xf>
    <xf numFmtId="2" fontId="50" fillId="6" borderId="33" xfId="0" applyNumberFormat="1" applyFont="1" applyFill="1" applyBorder="1" applyAlignment="1">
      <alignment horizontal="center" vertical="center" wrapText="1"/>
    </xf>
    <xf numFmtId="2" fontId="50" fillId="0" borderId="31" xfId="0" applyNumberFormat="1" applyFont="1" applyFill="1" applyBorder="1" applyAlignment="1">
      <alignment horizontal="center" vertical="center" wrapText="1"/>
    </xf>
    <xf numFmtId="2" fontId="50" fillId="0" borderId="37" xfId="0" applyNumberFormat="1" applyFont="1" applyFill="1" applyBorder="1" applyAlignment="1">
      <alignment horizontal="center" vertical="center" wrapText="1"/>
    </xf>
    <xf numFmtId="2" fontId="50" fillId="0" borderId="33" xfId="0" applyNumberFormat="1" applyFont="1" applyFill="1" applyBorder="1" applyAlignment="1">
      <alignment horizontal="center" vertical="center" wrapText="1"/>
    </xf>
    <xf numFmtId="0" fontId="51" fillId="0" borderId="36" xfId="0" applyFont="1" applyFill="1" applyBorder="1" applyAlignment="1">
      <alignment horizontal="center" vertical="center" wrapText="1"/>
    </xf>
    <xf numFmtId="3" fontId="31" fillId="0" borderId="19" xfId="0" applyNumberFormat="1" applyFont="1" applyFill="1" applyBorder="1" applyAlignment="1">
      <alignment horizontal="center" vertical="center" wrapText="1"/>
    </xf>
    <xf numFmtId="49" fontId="31" fillId="0" borderId="38" xfId="0" applyNumberFormat="1" applyFont="1" applyFill="1" applyBorder="1" applyAlignment="1">
      <alignment horizontal="center" vertical="center" wrapText="1"/>
    </xf>
    <xf numFmtId="0" fontId="53" fillId="3" borderId="36" xfId="0" applyFont="1" applyFill="1" applyBorder="1" applyAlignment="1">
      <alignment horizontal="center" vertical="center" wrapText="1"/>
    </xf>
    <xf numFmtId="0" fontId="44" fillId="0" borderId="0" xfId="0" applyFont="1" applyAlignment="1">
      <alignment vertical="center"/>
    </xf>
    <xf numFmtId="0" fontId="44" fillId="0" borderId="0" xfId="0" applyFont="1" applyFill="1" applyAlignment="1">
      <alignment horizontal="left" vertical="center" indent="1"/>
    </xf>
    <xf numFmtId="0" fontId="54" fillId="0" borderId="0" xfId="0" applyFont="1" applyFill="1" applyAlignment="1">
      <alignment vertical="top" wrapText="1"/>
    </xf>
    <xf numFmtId="0" fontId="4" fillId="0" borderId="32" xfId="0" applyFont="1" applyBorder="1" applyAlignment="1">
      <alignment horizontal="center" vertical="center" wrapText="1"/>
    </xf>
    <xf numFmtId="49" fontId="32" fillId="0" borderId="33" xfId="0" applyNumberFormat="1" applyFont="1" applyFill="1" applyBorder="1" applyAlignment="1">
      <alignment horizontal="center" vertical="center" wrapText="1"/>
    </xf>
    <xf numFmtId="0" fontId="13" fillId="0" borderId="36" xfId="0" applyFont="1" applyBorder="1" applyAlignment="1">
      <alignment horizontal="center" vertical="center" wrapText="1"/>
    </xf>
    <xf numFmtId="49" fontId="54" fillId="0" borderId="0" xfId="0" applyNumberFormat="1" applyFont="1" applyAlignment="1">
      <alignment horizontal="left" vertical="top" wrapText="1" indent="1"/>
    </xf>
    <xf numFmtId="0" fontId="54" fillId="0" borderId="0" xfId="0" applyFont="1" applyAlignment="1">
      <alignment horizontal="right" vertical="top"/>
    </xf>
    <xf numFmtId="49" fontId="54" fillId="8" borderId="41" xfId="0" applyNumberFormat="1" applyFont="1" applyFill="1" applyBorder="1" applyAlignment="1">
      <alignment vertical="center"/>
    </xf>
    <xf numFmtId="0" fontId="44" fillId="8" borderId="42" xfId="0" applyFont="1" applyFill="1" applyBorder="1" applyAlignment="1">
      <alignment horizontal="right" vertical="center" wrapText="1" indent="1"/>
    </xf>
    <xf numFmtId="0" fontId="54" fillId="8" borderId="42" xfId="0" applyFont="1" applyFill="1" applyBorder="1" applyAlignment="1">
      <alignment horizontal="center" vertical="center"/>
    </xf>
    <xf numFmtId="4" fontId="54" fillId="8" borderId="43" xfId="0" applyNumberFormat="1" applyFont="1" applyFill="1" applyBorder="1" applyAlignment="1">
      <alignment horizontal="center" vertical="center"/>
    </xf>
    <xf numFmtId="4" fontId="54" fillId="8" borderId="44" xfId="0" applyNumberFormat="1" applyFont="1" applyFill="1" applyBorder="1" applyAlignment="1">
      <alignment horizontal="center" vertical="center"/>
    </xf>
    <xf numFmtId="4" fontId="54" fillId="8" borderId="45" xfId="0" applyNumberFormat="1" applyFont="1" applyFill="1" applyBorder="1" applyAlignment="1">
      <alignment horizontal="center" vertical="center"/>
    </xf>
    <xf numFmtId="4" fontId="44" fillId="8" borderId="43" xfId="0" applyNumberFormat="1" applyFont="1" applyFill="1" applyBorder="1" applyAlignment="1">
      <alignment horizontal="center" vertical="center"/>
    </xf>
    <xf numFmtId="4" fontId="44" fillId="8" borderId="45" xfId="0" applyNumberFormat="1" applyFont="1" applyFill="1" applyBorder="1" applyAlignment="1">
      <alignment horizontal="center" vertical="center"/>
    </xf>
    <xf numFmtId="0" fontId="4" fillId="0" borderId="21" xfId="0" applyFont="1" applyFill="1" applyBorder="1" applyAlignment="1">
      <alignment horizontal="center" vertical="center" wrapText="1"/>
    </xf>
    <xf numFmtId="2" fontId="31" fillId="6" borderId="38" xfId="0" applyNumberFormat="1" applyFont="1" applyFill="1" applyBorder="1" applyAlignment="1">
      <alignment horizontal="center" vertical="center" wrapText="1"/>
    </xf>
    <xf numFmtId="2" fontId="31" fillId="6" borderId="18" xfId="0" applyNumberFormat="1" applyFont="1" applyFill="1" applyBorder="1" applyAlignment="1">
      <alignment horizontal="center" vertical="center" wrapText="1"/>
    </xf>
    <xf numFmtId="2" fontId="31" fillId="0" borderId="40" xfId="0" applyNumberFormat="1" applyFont="1" applyFill="1" applyBorder="1" applyAlignment="1">
      <alignment horizontal="center" vertical="center" wrapText="1"/>
    </xf>
    <xf numFmtId="2" fontId="31" fillId="0" borderId="38" xfId="0" applyNumberFormat="1" applyFont="1" applyBorder="1" applyAlignment="1">
      <alignment horizontal="center" vertical="center" wrapText="1"/>
    </xf>
    <xf numFmtId="2" fontId="31" fillId="0" borderId="18" xfId="0" applyNumberFormat="1" applyFont="1" applyBorder="1" applyAlignment="1">
      <alignment horizontal="center" vertical="center" wrapText="1"/>
    </xf>
    <xf numFmtId="2" fontId="31" fillId="3" borderId="17" xfId="3" applyNumberFormat="1" applyFont="1" applyFill="1" applyBorder="1" applyAlignment="1">
      <alignment horizontal="center" vertical="center" wrapText="1"/>
    </xf>
    <xf numFmtId="4" fontId="31" fillId="3" borderId="20" xfId="0" applyNumberFormat="1" applyFont="1" applyFill="1" applyBorder="1" applyAlignment="1">
      <alignment horizontal="center" vertical="center" wrapText="1"/>
    </xf>
    <xf numFmtId="4" fontId="31" fillId="3" borderId="10" xfId="0" applyNumberFormat="1" applyFont="1" applyFill="1" applyBorder="1" applyAlignment="1">
      <alignment horizontal="center" vertical="center" wrapText="1"/>
    </xf>
    <xf numFmtId="4" fontId="31" fillId="12" borderId="20" xfId="4" applyNumberFormat="1" applyFont="1" applyFill="1" applyBorder="1" applyAlignment="1">
      <alignment horizontal="center" vertical="center" wrapText="1"/>
    </xf>
    <xf numFmtId="4" fontId="31" fillId="12" borderId="17" xfId="4" applyNumberFormat="1" applyFont="1" applyFill="1" applyBorder="1" applyAlignment="1">
      <alignment horizontal="center" vertical="center" wrapText="1"/>
    </xf>
    <xf numFmtId="4" fontId="31" fillId="12" borderId="10" xfId="4" applyNumberFormat="1" applyFont="1" applyFill="1" applyBorder="1" applyAlignment="1">
      <alignment horizontal="center" vertical="center" wrapText="1"/>
    </xf>
    <xf numFmtId="4" fontId="31" fillId="12" borderId="20" xfId="4" applyNumberFormat="1" applyFont="1" applyFill="1" applyBorder="1" applyAlignment="1">
      <alignment horizontal="center" vertical="center"/>
    </xf>
    <xf numFmtId="49" fontId="43" fillId="0" borderId="0" xfId="0" applyNumberFormat="1" applyFont="1" applyFill="1" applyAlignment="1">
      <alignment horizontal="center" vertical="center"/>
    </xf>
    <xf numFmtId="0" fontId="45" fillId="0" borderId="0" xfId="0" applyFont="1" applyFill="1" applyAlignment="1">
      <alignment horizontal="center" vertical="center" wrapText="1"/>
    </xf>
    <xf numFmtId="0" fontId="45" fillId="0" borderId="0" xfId="0" applyFont="1" applyBorder="1" applyAlignment="1">
      <alignment horizontal="center" vertical="center" wrapText="1"/>
    </xf>
    <xf numFmtId="49" fontId="40" fillId="0" borderId="11" xfId="0" applyNumberFormat="1" applyFont="1" applyFill="1" applyBorder="1" applyAlignment="1">
      <alignment horizontal="center" vertical="center" wrapText="1"/>
    </xf>
    <xf numFmtId="49" fontId="40" fillId="0" borderId="17" xfId="0" applyNumberFormat="1" applyFont="1" applyBorder="1" applyAlignment="1">
      <alignment horizontal="center" vertical="center" wrapText="1"/>
    </xf>
    <xf numFmtId="49" fontId="40" fillId="0" borderId="12" xfId="0" applyNumberFormat="1" applyFont="1" applyFill="1" applyBorder="1" applyAlignment="1">
      <alignment horizontal="center" vertical="center" wrapText="1"/>
    </xf>
    <xf numFmtId="49" fontId="40" fillId="0" borderId="18" xfId="0" applyNumberFormat="1" applyFont="1" applyFill="1" applyBorder="1" applyAlignment="1">
      <alignment horizontal="center" vertical="center" wrapText="1"/>
    </xf>
    <xf numFmtId="2" fontId="40" fillId="0" borderId="13" xfId="0" applyNumberFormat="1" applyFont="1" applyFill="1" applyBorder="1" applyAlignment="1">
      <alignment horizontal="center" vertical="center" wrapText="1"/>
    </xf>
    <xf numFmtId="2" fontId="40" fillId="0" borderId="10" xfId="0" applyNumberFormat="1" applyFont="1" applyFill="1" applyBorder="1" applyAlignment="1">
      <alignment horizontal="center" vertical="center" wrapText="1"/>
    </xf>
    <xf numFmtId="2" fontId="40" fillId="0" borderId="12" xfId="0" applyNumberFormat="1" applyFont="1" applyFill="1" applyBorder="1" applyAlignment="1">
      <alignment horizontal="center" vertical="center" wrapText="1"/>
    </xf>
    <xf numFmtId="2" fontId="40" fillId="0" borderId="18" xfId="0" applyNumberFormat="1" applyFont="1" applyFill="1" applyBorder="1" applyAlignment="1">
      <alignment horizontal="center" vertical="center" wrapText="1"/>
    </xf>
    <xf numFmtId="2" fontId="40" fillId="0" borderId="14" xfId="0" applyNumberFormat="1" applyFont="1" applyFill="1" applyBorder="1" applyAlignment="1">
      <alignment horizontal="center" vertical="center" wrapText="1"/>
    </xf>
    <xf numFmtId="2" fontId="40" fillId="0" borderId="19" xfId="0" applyNumberFormat="1" applyFont="1" applyFill="1" applyBorder="1" applyAlignment="1">
      <alignment horizontal="center" vertical="center" wrapText="1"/>
    </xf>
    <xf numFmtId="2" fontId="40" fillId="0" borderId="11" xfId="0" applyNumberFormat="1" applyFont="1" applyFill="1" applyBorder="1" applyAlignment="1">
      <alignment horizontal="center" vertical="center" wrapText="1"/>
    </xf>
    <xf numFmtId="2" fontId="40" fillId="0" borderId="15" xfId="0" applyNumberFormat="1" applyFont="1" applyFill="1" applyBorder="1" applyAlignment="1">
      <alignment horizontal="center" vertical="center" wrapText="1"/>
    </xf>
    <xf numFmtId="2" fontId="40" fillId="0" borderId="11" xfId="3" applyNumberFormat="1" applyFont="1" applyBorder="1" applyAlignment="1">
      <alignment horizontal="center" vertical="center" wrapText="1"/>
    </xf>
    <xf numFmtId="2" fontId="40" fillId="0" borderId="13" xfId="3" applyNumberFormat="1" applyFont="1" applyBorder="1" applyAlignment="1">
      <alignment horizontal="center" vertical="center" wrapText="1"/>
    </xf>
    <xf numFmtId="2" fontId="40" fillId="0" borderId="15" xfId="3" applyNumberFormat="1" applyFont="1" applyBorder="1" applyAlignment="1">
      <alignment horizontal="center" vertical="center" wrapText="1"/>
    </xf>
    <xf numFmtId="2" fontId="40" fillId="0" borderId="16" xfId="0" applyNumberFormat="1" applyFont="1" applyFill="1" applyBorder="1" applyAlignment="1">
      <alignment horizontal="center" vertical="center"/>
    </xf>
    <xf numFmtId="2" fontId="40" fillId="0" borderId="21" xfId="0" applyNumberFormat="1" applyFont="1" applyFill="1" applyBorder="1" applyAlignment="1">
      <alignment horizontal="center" vertical="center"/>
    </xf>
    <xf numFmtId="0" fontId="22" fillId="0" borderId="0" xfId="0" applyFont="1" applyFill="1" applyAlignment="1">
      <alignment horizontal="left" vertical="top" wrapText="1" indent="1"/>
    </xf>
    <xf numFmtId="0" fontId="25" fillId="0" borderId="0" xfId="0" applyFont="1" applyFill="1" applyBorder="1" applyAlignment="1">
      <alignment horizontal="left" vertical="top" wrapText="1" indent="1"/>
    </xf>
    <xf numFmtId="0" fontId="54" fillId="0" borderId="0" xfId="0" applyFont="1" applyFill="1" applyBorder="1" applyAlignment="1">
      <alignment horizontal="left" vertical="top" wrapText="1" indent="1"/>
    </xf>
    <xf numFmtId="0" fontId="44" fillId="0" borderId="0" xfId="0" applyFont="1" applyFill="1" applyAlignment="1">
      <alignment horizontal="left" vertical="top" wrapText="1" indent="1"/>
    </xf>
    <xf numFmtId="0" fontId="44" fillId="0" borderId="0" xfId="0" applyFont="1" applyFill="1" applyBorder="1" applyAlignment="1">
      <alignment horizontal="left" vertical="top" wrapText="1" indent="1"/>
    </xf>
    <xf numFmtId="0" fontId="22" fillId="0" borderId="0" xfId="0" applyFont="1" applyFill="1" applyBorder="1" applyAlignment="1">
      <alignment horizontal="left" vertical="top" wrapText="1" indent="1"/>
    </xf>
    <xf numFmtId="0" fontId="54" fillId="0" borderId="0" xfId="0" quotePrefix="1" applyFont="1" applyFill="1" applyBorder="1" applyAlignment="1">
      <alignment horizontal="left" vertical="top" wrapText="1" indent="1"/>
    </xf>
    <xf numFmtId="0" fontId="25" fillId="0" borderId="0" xfId="9" applyFont="1" applyAlignment="1">
      <alignment horizontal="left" vertical="center" wrapText="1"/>
    </xf>
    <xf numFmtId="0" fontId="54" fillId="0" borderId="0" xfId="0" applyFont="1" applyFill="1" applyAlignment="1">
      <alignment horizontal="left" vertical="top" wrapText="1" indent="1"/>
    </xf>
    <xf numFmtId="0" fontId="44" fillId="0" borderId="0" xfId="0" quotePrefix="1" applyFont="1" applyFill="1" applyBorder="1" applyAlignment="1">
      <alignment horizontal="left" vertical="top" wrapText="1" indent="1"/>
    </xf>
    <xf numFmtId="0" fontId="25" fillId="0" borderId="0" xfId="0" applyFont="1" applyAlignment="1">
      <alignment horizontal="left" vertical="top" wrapText="1"/>
    </xf>
    <xf numFmtId="0" fontId="44" fillId="0" borderId="0" xfId="0" applyFont="1" applyAlignment="1">
      <alignment horizontal="left" vertical="top" wrapText="1" indent="1"/>
    </xf>
    <xf numFmtId="49" fontId="44" fillId="0" borderId="0" xfId="0" applyNumberFormat="1" applyFont="1" applyAlignment="1">
      <alignment horizontal="left" vertical="top" wrapText="1" indent="1"/>
    </xf>
    <xf numFmtId="0" fontId="0" fillId="0" borderId="0" xfId="0" applyBorder="1" applyAlignment="1">
      <alignment horizontal="center" wrapText="1"/>
    </xf>
  </cellXfs>
  <cellStyles count="12">
    <cellStyle name="Денежный" xfId="1" builtinId="4"/>
    <cellStyle name="Денежный 2" xfId="8"/>
    <cellStyle name="Денежный 3" xfId="6"/>
    <cellStyle name="Денежный 4" xfId="11"/>
    <cellStyle name="Обычный" xfId="0" builtinId="0"/>
    <cellStyle name="Обычный 12 6" xfId="7"/>
    <cellStyle name="Обычный 2" xfId="10"/>
    <cellStyle name="Обычный 2 13 2" xfId="2"/>
    <cellStyle name="Обычный 2 3" xfId="9"/>
    <cellStyle name="Обычный 22 2" xfId="5"/>
    <cellStyle name="Обычный_ПОЛЫ 1" xfId="3"/>
    <cellStyle name="Финансовый 2" xfId="4"/>
  </cellStyles>
  <dxfs count="7">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s>
  <tableStyles count="0" defaultTableStyle="TableStyleMedium2" defaultPivotStyle="PivotStyleLight16"/>
  <colors>
    <mruColors>
      <color rgb="FF254A9B"/>
      <color rgb="FFCBA9FD"/>
      <color rgb="FFFF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122465</xdr:colOff>
      <xdr:row>229</xdr:row>
      <xdr:rowOff>108857</xdr:rowOff>
    </xdr:from>
    <xdr:to>
      <xdr:col>2</xdr:col>
      <xdr:colOff>5187208</xdr:colOff>
      <xdr:row>236</xdr:row>
      <xdr:rowOff>28864</xdr:rowOff>
    </xdr:to>
    <xdr:sp macro="" textlink="">
      <xdr:nvSpPr>
        <xdr:cNvPr id="2" name="TextBox 1"/>
        <xdr:cNvSpPr txBox="1">
          <a:spLocks noChangeArrowheads="1"/>
        </xdr:cNvSpPr>
      </xdr:nvSpPr>
      <xdr:spPr bwMode="auto">
        <a:xfrm>
          <a:off x="707572" y="179355750"/>
          <a:ext cx="6098886" cy="2314864"/>
        </a:xfrm>
        <a:prstGeom prst="rect">
          <a:avLst/>
        </a:prstGeom>
        <a:solidFill>
          <a:srgbClr val="FFFFFF"/>
        </a:solidFill>
        <a:ln w="9525">
          <a:noFill/>
          <a:miter lim="800000"/>
          <a:headEnd/>
          <a:tailEnd/>
        </a:ln>
      </xdr:spPr>
      <xdr:txBody>
        <a:bodyPr vertOverflow="clip" wrap="square" lIns="91440" tIns="45720" rIns="91440" bIns="45720" anchor="ctr"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Руководитель организации:</a:t>
          </a: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______________________       _________________   / ________________________ /</a:t>
          </a: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050" b="0" i="0" u="none" strike="noStrike" kern="0" cap="none" spc="0" normalizeH="0" baseline="0" noProof="0">
              <a:ln>
                <a:noFill/>
              </a:ln>
              <a:solidFill>
                <a:srgbClr val="000000"/>
              </a:solidFill>
              <a:effectLst/>
              <a:uLnTx/>
              <a:uFillTx/>
              <a:latin typeface="Times New Roman"/>
              <a:cs typeface="Times New Roman"/>
            </a:rPr>
            <a:t>               должность                                            подпись                                     расшифровка</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200" b="0" i="0" u="none" strike="noStrike" kern="0" cap="none" spc="0" normalizeH="0" baseline="0" noProof="0">
              <a:ln>
                <a:noFill/>
              </a:ln>
              <a:solidFill>
                <a:srgbClr val="000000"/>
              </a:solidFill>
              <a:effectLst/>
              <a:uLnTx/>
              <a:uFillTx/>
              <a:latin typeface="Times New Roman"/>
              <a:cs typeface="Times New Roman"/>
            </a:rPr>
            <a:t>		М.П.</a:t>
          </a: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Исполнитель:</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300"/>
            </a:lnSpc>
            <a:spcBef>
              <a:spcPts val="0"/>
            </a:spcBef>
            <a:spcAft>
              <a:spcPts val="0"/>
            </a:spcAft>
            <a:buClrTx/>
            <a:buSzTx/>
            <a:buFontTx/>
            <a:buNone/>
            <a:tabLst/>
            <a:defRPr/>
          </a:pPr>
          <a:r>
            <a:rPr kumimoji="0" lang="ru-RU" sz="13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______________________       / ________________  /          ___________________</a:t>
          </a:r>
          <a:endParaRPr kumimoji="0" lang="ru-RU" sz="130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200"/>
            </a:lnSpc>
            <a:spcBef>
              <a:spcPts val="0"/>
            </a:spcBef>
            <a:spcAft>
              <a:spcPts val="0"/>
            </a:spcAft>
            <a:buClrTx/>
            <a:buSzTx/>
            <a:buFontTx/>
            <a:buNone/>
            <a:tabLst/>
            <a:defRPr/>
          </a:pPr>
          <a:r>
            <a:rPr kumimoji="0" lang="ru-RU" sz="12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             </a:t>
          </a:r>
          <a:r>
            <a:rPr kumimoji="0" lang="ru-RU" sz="105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должность                                         расшифровка                                      конт. тел.</a:t>
          </a:r>
          <a:endParaRPr kumimoji="0" lang="ru-RU" sz="105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V250"/>
  <sheetViews>
    <sheetView tabSelected="1" view="pageBreakPreview" topLeftCell="A199" zoomScale="70" zoomScaleNormal="70" zoomScaleSheetLayoutView="70" workbookViewId="0">
      <selection activeCell="B216" sqref="B216:N216"/>
    </sheetView>
  </sheetViews>
  <sheetFormatPr defaultColWidth="7.42578125" defaultRowHeight="20.25" outlineLevelRow="1" x14ac:dyDescent="0.25"/>
  <cols>
    <col min="1" max="1" width="12.5703125" style="38" customWidth="1"/>
    <col min="2" max="2" width="15.42578125" style="37" customWidth="1"/>
    <col min="3" max="3" width="85.7109375" style="34" customWidth="1"/>
    <col min="4" max="4" width="11.140625" style="34" customWidth="1"/>
    <col min="5" max="5" width="12.42578125" style="32" customWidth="1"/>
    <col min="6" max="6" width="10" style="33" customWidth="1"/>
    <col min="7" max="7" width="17.5703125" style="33" customWidth="1"/>
    <col min="8" max="8" width="21.7109375" style="34" customWidth="1"/>
    <col min="9" max="9" width="20.140625" style="34" customWidth="1"/>
    <col min="10" max="10" width="18.85546875" style="34" customWidth="1"/>
    <col min="11" max="12" width="21.7109375" style="34" customWidth="1"/>
    <col min="13" max="13" width="18.42578125" style="35" customWidth="1"/>
    <col min="14" max="14" width="61.28515625" style="34" customWidth="1"/>
    <col min="15" max="15" width="21" style="39" customWidth="1"/>
    <col min="16" max="16" width="20.5703125" style="39" customWidth="1"/>
    <col min="17" max="17" width="12" style="34" customWidth="1"/>
    <col min="18" max="18" width="15" style="34" customWidth="1"/>
    <col min="19" max="218" width="7.42578125" style="34"/>
    <col min="219" max="219" width="7.42578125" style="34" customWidth="1"/>
    <col min="220" max="220" width="13" style="34" customWidth="1"/>
    <col min="221" max="221" width="52.7109375" style="34" customWidth="1"/>
    <col min="222" max="222" width="7.28515625" style="34" customWidth="1"/>
    <col min="223" max="223" width="10" style="34" customWidth="1"/>
    <col min="224" max="228" width="11.85546875" style="34" customWidth="1"/>
    <col min="229" max="229" width="10.7109375" style="34" customWidth="1"/>
    <col min="230" max="230" width="21" style="34" customWidth="1"/>
    <col min="231" max="474" width="7.42578125" style="34"/>
    <col min="475" max="475" width="7.42578125" style="34" customWidth="1"/>
    <col min="476" max="476" width="13" style="34" customWidth="1"/>
    <col min="477" max="477" width="52.7109375" style="34" customWidth="1"/>
    <col min="478" max="478" width="7.28515625" style="34" customWidth="1"/>
    <col min="479" max="479" width="10" style="34" customWidth="1"/>
    <col min="480" max="484" width="11.85546875" style="34" customWidth="1"/>
    <col min="485" max="485" width="10.7109375" style="34" customWidth="1"/>
    <col min="486" max="486" width="21" style="34" customWidth="1"/>
    <col min="487" max="730" width="7.42578125" style="34"/>
    <col min="731" max="731" width="7.42578125" style="34" customWidth="1"/>
    <col min="732" max="732" width="13" style="34" customWidth="1"/>
    <col min="733" max="733" width="52.7109375" style="34" customWidth="1"/>
    <col min="734" max="734" width="7.28515625" style="34" customWidth="1"/>
    <col min="735" max="735" width="10" style="34" customWidth="1"/>
    <col min="736" max="740" width="11.85546875" style="34" customWidth="1"/>
    <col min="741" max="741" width="10.7109375" style="34" customWidth="1"/>
    <col min="742" max="742" width="21" style="34" customWidth="1"/>
    <col min="743" max="986" width="7.42578125" style="34"/>
    <col min="987" max="987" width="7.42578125" style="34" customWidth="1"/>
    <col min="988" max="988" width="13" style="34" customWidth="1"/>
    <col min="989" max="989" width="52.7109375" style="34" customWidth="1"/>
    <col min="990" max="990" width="7.28515625" style="34" customWidth="1"/>
    <col min="991" max="991" width="10" style="34" customWidth="1"/>
    <col min="992" max="996" width="11.85546875" style="34" customWidth="1"/>
    <col min="997" max="997" width="10.7109375" style="34" customWidth="1"/>
    <col min="998" max="998" width="21" style="34" customWidth="1"/>
    <col min="999" max="1242" width="7.42578125" style="34"/>
    <col min="1243" max="1243" width="7.42578125" style="34" customWidth="1"/>
    <col min="1244" max="1244" width="13" style="34" customWidth="1"/>
    <col min="1245" max="1245" width="52.7109375" style="34" customWidth="1"/>
    <col min="1246" max="1246" width="7.28515625" style="34" customWidth="1"/>
    <col min="1247" max="1247" width="10" style="34" customWidth="1"/>
    <col min="1248" max="1252" width="11.85546875" style="34" customWidth="1"/>
    <col min="1253" max="1253" width="10.7109375" style="34" customWidth="1"/>
    <col min="1254" max="1254" width="21" style="34" customWidth="1"/>
    <col min="1255" max="1498" width="7.42578125" style="34"/>
    <col min="1499" max="1499" width="7.42578125" style="34" customWidth="1"/>
    <col min="1500" max="1500" width="13" style="34" customWidth="1"/>
    <col min="1501" max="1501" width="52.7109375" style="34" customWidth="1"/>
    <col min="1502" max="1502" width="7.28515625" style="34" customWidth="1"/>
    <col min="1503" max="1503" width="10" style="34" customWidth="1"/>
    <col min="1504" max="1508" width="11.85546875" style="34" customWidth="1"/>
    <col min="1509" max="1509" width="10.7109375" style="34" customWidth="1"/>
    <col min="1510" max="1510" width="21" style="34" customWidth="1"/>
    <col min="1511" max="1754" width="7.42578125" style="34"/>
    <col min="1755" max="1755" width="7.42578125" style="34" customWidth="1"/>
    <col min="1756" max="1756" width="13" style="34" customWidth="1"/>
    <col min="1757" max="1757" width="52.7109375" style="34" customWidth="1"/>
    <col min="1758" max="1758" width="7.28515625" style="34" customWidth="1"/>
    <col min="1759" max="1759" width="10" style="34" customWidth="1"/>
    <col min="1760" max="1764" width="11.85546875" style="34" customWidth="1"/>
    <col min="1765" max="1765" width="10.7109375" style="34" customWidth="1"/>
    <col min="1766" max="1766" width="21" style="34" customWidth="1"/>
    <col min="1767" max="2010" width="7.42578125" style="34"/>
    <col min="2011" max="2011" width="7.42578125" style="34" customWidth="1"/>
    <col min="2012" max="2012" width="13" style="34" customWidth="1"/>
    <col min="2013" max="2013" width="52.7109375" style="34" customWidth="1"/>
    <col min="2014" max="2014" width="7.28515625" style="34" customWidth="1"/>
    <col min="2015" max="2015" width="10" style="34" customWidth="1"/>
    <col min="2016" max="2020" width="11.85546875" style="34" customWidth="1"/>
    <col min="2021" max="2021" width="10.7109375" style="34" customWidth="1"/>
    <col min="2022" max="2022" width="21" style="34" customWidth="1"/>
    <col min="2023" max="2266" width="7.42578125" style="34"/>
    <col min="2267" max="2267" width="7.42578125" style="34" customWidth="1"/>
    <col min="2268" max="2268" width="13" style="34" customWidth="1"/>
    <col min="2269" max="2269" width="52.7109375" style="34" customWidth="1"/>
    <col min="2270" max="2270" width="7.28515625" style="34" customWidth="1"/>
    <col min="2271" max="2271" width="10" style="34" customWidth="1"/>
    <col min="2272" max="2276" width="11.85546875" style="34" customWidth="1"/>
    <col min="2277" max="2277" width="10.7109375" style="34" customWidth="1"/>
    <col min="2278" max="2278" width="21" style="34" customWidth="1"/>
    <col min="2279" max="2522" width="7.42578125" style="34"/>
    <col min="2523" max="2523" width="7.42578125" style="34" customWidth="1"/>
    <col min="2524" max="2524" width="13" style="34" customWidth="1"/>
    <col min="2525" max="2525" width="52.7109375" style="34" customWidth="1"/>
    <col min="2526" max="2526" width="7.28515625" style="34" customWidth="1"/>
    <col min="2527" max="2527" width="10" style="34" customWidth="1"/>
    <col min="2528" max="2532" width="11.85546875" style="34" customWidth="1"/>
    <col min="2533" max="2533" width="10.7109375" style="34" customWidth="1"/>
    <col min="2534" max="2534" width="21" style="34" customWidth="1"/>
    <col min="2535" max="2778" width="7.42578125" style="34"/>
    <col min="2779" max="2779" width="7.42578125" style="34" customWidth="1"/>
    <col min="2780" max="2780" width="13" style="34" customWidth="1"/>
    <col min="2781" max="2781" width="52.7109375" style="34" customWidth="1"/>
    <col min="2782" max="2782" width="7.28515625" style="34" customWidth="1"/>
    <col min="2783" max="2783" width="10" style="34" customWidth="1"/>
    <col min="2784" max="2788" width="11.85546875" style="34" customWidth="1"/>
    <col min="2789" max="2789" width="10.7109375" style="34" customWidth="1"/>
    <col min="2790" max="2790" width="21" style="34" customWidth="1"/>
    <col min="2791" max="3034" width="7.42578125" style="34"/>
    <col min="3035" max="3035" width="7.42578125" style="34" customWidth="1"/>
    <col min="3036" max="3036" width="13" style="34" customWidth="1"/>
    <col min="3037" max="3037" width="52.7109375" style="34" customWidth="1"/>
    <col min="3038" max="3038" width="7.28515625" style="34" customWidth="1"/>
    <col min="3039" max="3039" width="10" style="34" customWidth="1"/>
    <col min="3040" max="3044" width="11.85546875" style="34" customWidth="1"/>
    <col min="3045" max="3045" width="10.7109375" style="34" customWidth="1"/>
    <col min="3046" max="3046" width="21" style="34" customWidth="1"/>
    <col min="3047" max="3290" width="7.42578125" style="34"/>
    <col min="3291" max="3291" width="7.42578125" style="34" customWidth="1"/>
    <col min="3292" max="3292" width="13" style="34" customWidth="1"/>
    <col min="3293" max="3293" width="52.7109375" style="34" customWidth="1"/>
    <col min="3294" max="3294" width="7.28515625" style="34" customWidth="1"/>
    <col min="3295" max="3295" width="10" style="34" customWidth="1"/>
    <col min="3296" max="3300" width="11.85546875" style="34" customWidth="1"/>
    <col min="3301" max="3301" width="10.7109375" style="34" customWidth="1"/>
    <col min="3302" max="3302" width="21" style="34" customWidth="1"/>
    <col min="3303" max="3546" width="7.42578125" style="34"/>
    <col min="3547" max="3547" width="7.42578125" style="34" customWidth="1"/>
    <col min="3548" max="3548" width="13" style="34" customWidth="1"/>
    <col min="3549" max="3549" width="52.7109375" style="34" customWidth="1"/>
    <col min="3550" max="3550" width="7.28515625" style="34" customWidth="1"/>
    <col min="3551" max="3551" width="10" style="34" customWidth="1"/>
    <col min="3552" max="3556" width="11.85546875" style="34" customWidth="1"/>
    <col min="3557" max="3557" width="10.7109375" style="34" customWidth="1"/>
    <col min="3558" max="3558" width="21" style="34" customWidth="1"/>
    <col min="3559" max="3802" width="7.42578125" style="34"/>
    <col min="3803" max="3803" width="7.42578125" style="34" customWidth="1"/>
    <col min="3804" max="3804" width="13" style="34" customWidth="1"/>
    <col min="3805" max="3805" width="52.7109375" style="34" customWidth="1"/>
    <col min="3806" max="3806" width="7.28515625" style="34" customWidth="1"/>
    <col min="3807" max="3807" width="10" style="34" customWidth="1"/>
    <col min="3808" max="3812" width="11.85546875" style="34" customWidth="1"/>
    <col min="3813" max="3813" width="10.7109375" style="34" customWidth="1"/>
    <col min="3814" max="3814" width="21" style="34" customWidth="1"/>
    <col min="3815" max="4058" width="7.42578125" style="34"/>
    <col min="4059" max="4059" width="7.42578125" style="34" customWidth="1"/>
    <col min="4060" max="4060" width="13" style="34" customWidth="1"/>
    <col min="4061" max="4061" width="52.7109375" style="34" customWidth="1"/>
    <col min="4062" max="4062" width="7.28515625" style="34" customWidth="1"/>
    <col min="4063" max="4063" width="10" style="34" customWidth="1"/>
    <col min="4064" max="4068" width="11.85546875" style="34" customWidth="1"/>
    <col min="4069" max="4069" width="10.7109375" style="34" customWidth="1"/>
    <col min="4070" max="4070" width="21" style="34" customWidth="1"/>
    <col min="4071" max="4314" width="7.42578125" style="34"/>
    <col min="4315" max="4315" width="7.42578125" style="34" customWidth="1"/>
    <col min="4316" max="4316" width="13" style="34" customWidth="1"/>
    <col min="4317" max="4317" width="52.7109375" style="34" customWidth="1"/>
    <col min="4318" max="4318" width="7.28515625" style="34" customWidth="1"/>
    <col min="4319" max="4319" width="10" style="34" customWidth="1"/>
    <col min="4320" max="4324" width="11.85546875" style="34" customWidth="1"/>
    <col min="4325" max="4325" width="10.7109375" style="34" customWidth="1"/>
    <col min="4326" max="4326" width="21" style="34" customWidth="1"/>
    <col min="4327" max="4570" width="7.42578125" style="34"/>
    <col min="4571" max="4571" width="7.42578125" style="34" customWidth="1"/>
    <col min="4572" max="4572" width="13" style="34" customWidth="1"/>
    <col min="4573" max="4573" width="52.7109375" style="34" customWidth="1"/>
    <col min="4574" max="4574" width="7.28515625" style="34" customWidth="1"/>
    <col min="4575" max="4575" width="10" style="34" customWidth="1"/>
    <col min="4576" max="4580" width="11.85546875" style="34" customWidth="1"/>
    <col min="4581" max="4581" width="10.7109375" style="34" customWidth="1"/>
    <col min="4582" max="4582" width="21" style="34" customWidth="1"/>
    <col min="4583" max="4826" width="7.42578125" style="34"/>
    <col min="4827" max="4827" width="7.42578125" style="34" customWidth="1"/>
    <col min="4828" max="4828" width="13" style="34" customWidth="1"/>
    <col min="4829" max="4829" width="52.7109375" style="34" customWidth="1"/>
    <col min="4830" max="4830" width="7.28515625" style="34" customWidth="1"/>
    <col min="4831" max="4831" width="10" style="34" customWidth="1"/>
    <col min="4832" max="4836" width="11.85546875" style="34" customWidth="1"/>
    <col min="4837" max="4837" width="10.7109375" style="34" customWidth="1"/>
    <col min="4838" max="4838" width="21" style="34" customWidth="1"/>
    <col min="4839" max="5082" width="7.42578125" style="34"/>
    <col min="5083" max="5083" width="7.42578125" style="34" customWidth="1"/>
    <col min="5084" max="5084" width="13" style="34" customWidth="1"/>
    <col min="5085" max="5085" width="52.7109375" style="34" customWidth="1"/>
    <col min="5086" max="5086" width="7.28515625" style="34" customWidth="1"/>
    <col min="5087" max="5087" width="10" style="34" customWidth="1"/>
    <col min="5088" max="5092" width="11.85546875" style="34" customWidth="1"/>
    <col min="5093" max="5093" width="10.7109375" style="34" customWidth="1"/>
    <col min="5094" max="5094" width="21" style="34" customWidth="1"/>
    <col min="5095" max="5338" width="7.42578125" style="34"/>
    <col min="5339" max="5339" width="7.42578125" style="34" customWidth="1"/>
    <col min="5340" max="5340" width="13" style="34" customWidth="1"/>
    <col min="5341" max="5341" width="52.7109375" style="34" customWidth="1"/>
    <col min="5342" max="5342" width="7.28515625" style="34" customWidth="1"/>
    <col min="5343" max="5343" width="10" style="34" customWidth="1"/>
    <col min="5344" max="5348" width="11.85546875" style="34" customWidth="1"/>
    <col min="5349" max="5349" width="10.7109375" style="34" customWidth="1"/>
    <col min="5350" max="5350" width="21" style="34" customWidth="1"/>
    <col min="5351" max="5594" width="7.42578125" style="34"/>
    <col min="5595" max="5595" width="7.42578125" style="34" customWidth="1"/>
    <col min="5596" max="5596" width="13" style="34" customWidth="1"/>
    <col min="5597" max="5597" width="52.7109375" style="34" customWidth="1"/>
    <col min="5598" max="5598" width="7.28515625" style="34" customWidth="1"/>
    <col min="5599" max="5599" width="10" style="34" customWidth="1"/>
    <col min="5600" max="5604" width="11.85546875" style="34" customWidth="1"/>
    <col min="5605" max="5605" width="10.7109375" style="34" customWidth="1"/>
    <col min="5606" max="5606" width="21" style="34" customWidth="1"/>
    <col min="5607" max="5850" width="7.42578125" style="34"/>
    <col min="5851" max="5851" width="7.42578125" style="34" customWidth="1"/>
    <col min="5852" max="5852" width="13" style="34" customWidth="1"/>
    <col min="5853" max="5853" width="52.7109375" style="34" customWidth="1"/>
    <col min="5854" max="5854" width="7.28515625" style="34" customWidth="1"/>
    <col min="5855" max="5855" width="10" style="34" customWidth="1"/>
    <col min="5856" max="5860" width="11.85546875" style="34" customWidth="1"/>
    <col min="5861" max="5861" width="10.7109375" style="34" customWidth="1"/>
    <col min="5862" max="5862" width="21" style="34" customWidth="1"/>
    <col min="5863" max="6106" width="7.42578125" style="34"/>
    <col min="6107" max="6107" width="7.42578125" style="34" customWidth="1"/>
    <col min="6108" max="6108" width="13" style="34" customWidth="1"/>
    <col min="6109" max="6109" width="52.7109375" style="34" customWidth="1"/>
    <col min="6110" max="6110" width="7.28515625" style="34" customWidth="1"/>
    <col min="6111" max="6111" width="10" style="34" customWidth="1"/>
    <col min="6112" max="6116" width="11.85546875" style="34" customWidth="1"/>
    <col min="6117" max="6117" width="10.7109375" style="34" customWidth="1"/>
    <col min="6118" max="6118" width="21" style="34" customWidth="1"/>
    <col min="6119" max="6362" width="7.42578125" style="34"/>
    <col min="6363" max="6363" width="7.42578125" style="34" customWidth="1"/>
    <col min="6364" max="6364" width="13" style="34" customWidth="1"/>
    <col min="6365" max="6365" width="52.7109375" style="34" customWidth="1"/>
    <col min="6366" max="6366" width="7.28515625" style="34" customWidth="1"/>
    <col min="6367" max="6367" width="10" style="34" customWidth="1"/>
    <col min="6368" max="6372" width="11.85546875" style="34" customWidth="1"/>
    <col min="6373" max="6373" width="10.7109375" style="34" customWidth="1"/>
    <col min="6374" max="6374" width="21" style="34" customWidth="1"/>
    <col min="6375" max="6618" width="7.42578125" style="34"/>
    <col min="6619" max="6619" width="7.42578125" style="34" customWidth="1"/>
    <col min="6620" max="6620" width="13" style="34" customWidth="1"/>
    <col min="6621" max="6621" width="52.7109375" style="34" customWidth="1"/>
    <col min="6622" max="6622" width="7.28515625" style="34" customWidth="1"/>
    <col min="6623" max="6623" width="10" style="34" customWidth="1"/>
    <col min="6624" max="6628" width="11.85546875" style="34" customWidth="1"/>
    <col min="6629" max="6629" width="10.7109375" style="34" customWidth="1"/>
    <col min="6630" max="6630" width="21" style="34" customWidth="1"/>
    <col min="6631" max="6874" width="7.42578125" style="34"/>
    <col min="6875" max="6875" width="7.42578125" style="34" customWidth="1"/>
    <col min="6876" max="6876" width="13" style="34" customWidth="1"/>
    <col min="6877" max="6877" width="52.7109375" style="34" customWidth="1"/>
    <col min="6878" max="6878" width="7.28515625" style="34" customWidth="1"/>
    <col min="6879" max="6879" width="10" style="34" customWidth="1"/>
    <col min="6880" max="6884" width="11.85546875" style="34" customWidth="1"/>
    <col min="6885" max="6885" width="10.7109375" style="34" customWidth="1"/>
    <col min="6886" max="6886" width="21" style="34" customWidth="1"/>
    <col min="6887" max="7130" width="7.42578125" style="34"/>
    <col min="7131" max="7131" width="7.42578125" style="34" customWidth="1"/>
    <col min="7132" max="7132" width="13" style="34" customWidth="1"/>
    <col min="7133" max="7133" width="52.7109375" style="34" customWidth="1"/>
    <col min="7134" max="7134" width="7.28515625" style="34" customWidth="1"/>
    <col min="7135" max="7135" width="10" style="34" customWidth="1"/>
    <col min="7136" max="7140" width="11.85546875" style="34" customWidth="1"/>
    <col min="7141" max="7141" width="10.7109375" style="34" customWidth="1"/>
    <col min="7142" max="7142" width="21" style="34" customWidth="1"/>
    <col min="7143" max="7386" width="7.42578125" style="34"/>
    <col min="7387" max="7387" width="7.42578125" style="34" customWidth="1"/>
    <col min="7388" max="7388" width="13" style="34" customWidth="1"/>
    <col min="7389" max="7389" width="52.7109375" style="34" customWidth="1"/>
    <col min="7390" max="7390" width="7.28515625" style="34" customWidth="1"/>
    <col min="7391" max="7391" width="10" style="34" customWidth="1"/>
    <col min="7392" max="7396" width="11.85546875" style="34" customWidth="1"/>
    <col min="7397" max="7397" width="10.7109375" style="34" customWidth="1"/>
    <col min="7398" max="7398" width="21" style="34" customWidth="1"/>
    <col min="7399" max="7642" width="7.42578125" style="34"/>
    <col min="7643" max="7643" width="7.42578125" style="34" customWidth="1"/>
    <col min="7644" max="7644" width="13" style="34" customWidth="1"/>
    <col min="7645" max="7645" width="52.7109375" style="34" customWidth="1"/>
    <col min="7646" max="7646" width="7.28515625" style="34" customWidth="1"/>
    <col min="7647" max="7647" width="10" style="34" customWidth="1"/>
    <col min="7648" max="7652" width="11.85546875" style="34" customWidth="1"/>
    <col min="7653" max="7653" width="10.7109375" style="34" customWidth="1"/>
    <col min="7654" max="7654" width="21" style="34" customWidth="1"/>
    <col min="7655" max="7898" width="7.42578125" style="34"/>
    <col min="7899" max="7899" width="7.42578125" style="34" customWidth="1"/>
    <col min="7900" max="7900" width="13" style="34" customWidth="1"/>
    <col min="7901" max="7901" width="52.7109375" style="34" customWidth="1"/>
    <col min="7902" max="7902" width="7.28515625" style="34" customWidth="1"/>
    <col min="7903" max="7903" width="10" style="34" customWidth="1"/>
    <col min="7904" max="7908" width="11.85546875" style="34" customWidth="1"/>
    <col min="7909" max="7909" width="10.7109375" style="34" customWidth="1"/>
    <col min="7910" max="7910" width="21" style="34" customWidth="1"/>
    <col min="7911" max="8154" width="7.42578125" style="34"/>
    <col min="8155" max="8155" width="7.42578125" style="34" customWidth="1"/>
    <col min="8156" max="8156" width="13" style="34" customWidth="1"/>
    <col min="8157" max="8157" width="52.7109375" style="34" customWidth="1"/>
    <col min="8158" max="8158" width="7.28515625" style="34" customWidth="1"/>
    <col min="8159" max="8159" width="10" style="34" customWidth="1"/>
    <col min="8160" max="8164" width="11.85546875" style="34" customWidth="1"/>
    <col min="8165" max="8165" width="10.7109375" style="34" customWidth="1"/>
    <col min="8166" max="8166" width="21" style="34" customWidth="1"/>
    <col min="8167" max="8410" width="7.42578125" style="34"/>
    <col min="8411" max="8411" width="7.42578125" style="34" customWidth="1"/>
    <col min="8412" max="8412" width="13" style="34" customWidth="1"/>
    <col min="8413" max="8413" width="52.7109375" style="34" customWidth="1"/>
    <col min="8414" max="8414" width="7.28515625" style="34" customWidth="1"/>
    <col min="8415" max="8415" width="10" style="34" customWidth="1"/>
    <col min="8416" max="8420" width="11.85546875" style="34" customWidth="1"/>
    <col min="8421" max="8421" width="10.7109375" style="34" customWidth="1"/>
    <col min="8422" max="8422" width="21" style="34" customWidth="1"/>
    <col min="8423" max="8666" width="7.42578125" style="34"/>
    <col min="8667" max="8667" width="7.42578125" style="34" customWidth="1"/>
    <col min="8668" max="8668" width="13" style="34" customWidth="1"/>
    <col min="8669" max="8669" width="52.7109375" style="34" customWidth="1"/>
    <col min="8670" max="8670" width="7.28515625" style="34" customWidth="1"/>
    <col min="8671" max="8671" width="10" style="34" customWidth="1"/>
    <col min="8672" max="8676" width="11.85546875" style="34" customWidth="1"/>
    <col min="8677" max="8677" width="10.7109375" style="34" customWidth="1"/>
    <col min="8678" max="8678" width="21" style="34" customWidth="1"/>
    <col min="8679" max="8922" width="7.42578125" style="34"/>
    <col min="8923" max="8923" width="7.42578125" style="34" customWidth="1"/>
    <col min="8924" max="8924" width="13" style="34" customWidth="1"/>
    <col min="8925" max="8925" width="52.7109375" style="34" customWidth="1"/>
    <col min="8926" max="8926" width="7.28515625" style="34" customWidth="1"/>
    <col min="8927" max="8927" width="10" style="34" customWidth="1"/>
    <col min="8928" max="8932" width="11.85546875" style="34" customWidth="1"/>
    <col min="8933" max="8933" width="10.7109375" style="34" customWidth="1"/>
    <col min="8934" max="8934" width="21" style="34" customWidth="1"/>
    <col min="8935" max="9178" width="7.42578125" style="34"/>
    <col min="9179" max="9179" width="7.42578125" style="34" customWidth="1"/>
    <col min="9180" max="9180" width="13" style="34" customWidth="1"/>
    <col min="9181" max="9181" width="52.7109375" style="34" customWidth="1"/>
    <col min="9182" max="9182" width="7.28515625" style="34" customWidth="1"/>
    <col min="9183" max="9183" width="10" style="34" customWidth="1"/>
    <col min="9184" max="9188" width="11.85546875" style="34" customWidth="1"/>
    <col min="9189" max="9189" width="10.7109375" style="34" customWidth="1"/>
    <col min="9190" max="9190" width="21" style="34" customWidth="1"/>
    <col min="9191" max="9434" width="7.42578125" style="34"/>
    <col min="9435" max="9435" width="7.42578125" style="34" customWidth="1"/>
    <col min="9436" max="9436" width="13" style="34" customWidth="1"/>
    <col min="9437" max="9437" width="52.7109375" style="34" customWidth="1"/>
    <col min="9438" max="9438" width="7.28515625" style="34" customWidth="1"/>
    <col min="9439" max="9439" width="10" style="34" customWidth="1"/>
    <col min="9440" max="9444" width="11.85546875" style="34" customWidth="1"/>
    <col min="9445" max="9445" width="10.7109375" style="34" customWidth="1"/>
    <col min="9446" max="9446" width="21" style="34" customWidth="1"/>
    <col min="9447" max="9690" width="7.42578125" style="34"/>
    <col min="9691" max="9691" width="7.42578125" style="34" customWidth="1"/>
    <col min="9692" max="9692" width="13" style="34" customWidth="1"/>
    <col min="9693" max="9693" width="52.7109375" style="34" customWidth="1"/>
    <col min="9694" max="9694" width="7.28515625" style="34" customWidth="1"/>
    <col min="9695" max="9695" width="10" style="34" customWidth="1"/>
    <col min="9696" max="9700" width="11.85546875" style="34" customWidth="1"/>
    <col min="9701" max="9701" width="10.7109375" style="34" customWidth="1"/>
    <col min="9702" max="9702" width="21" style="34" customWidth="1"/>
    <col min="9703" max="9946" width="7.42578125" style="34"/>
    <col min="9947" max="9947" width="7.42578125" style="34" customWidth="1"/>
    <col min="9948" max="9948" width="13" style="34" customWidth="1"/>
    <col min="9949" max="9949" width="52.7109375" style="34" customWidth="1"/>
    <col min="9950" max="9950" width="7.28515625" style="34" customWidth="1"/>
    <col min="9951" max="9951" width="10" style="34" customWidth="1"/>
    <col min="9952" max="9956" width="11.85546875" style="34" customWidth="1"/>
    <col min="9957" max="9957" width="10.7109375" style="34" customWidth="1"/>
    <col min="9958" max="9958" width="21" style="34" customWidth="1"/>
    <col min="9959" max="10202" width="7.42578125" style="34"/>
    <col min="10203" max="10203" width="7.42578125" style="34" customWidth="1"/>
    <col min="10204" max="10204" width="13" style="34" customWidth="1"/>
    <col min="10205" max="10205" width="52.7109375" style="34" customWidth="1"/>
    <col min="10206" max="10206" width="7.28515625" style="34" customWidth="1"/>
    <col min="10207" max="10207" width="10" style="34" customWidth="1"/>
    <col min="10208" max="10212" width="11.85546875" style="34" customWidth="1"/>
    <col min="10213" max="10213" width="10.7109375" style="34" customWidth="1"/>
    <col min="10214" max="10214" width="21" style="34" customWidth="1"/>
    <col min="10215" max="10458" width="7.42578125" style="34"/>
    <col min="10459" max="10459" width="7.42578125" style="34" customWidth="1"/>
    <col min="10460" max="10460" width="13" style="34" customWidth="1"/>
    <col min="10461" max="10461" width="52.7109375" style="34" customWidth="1"/>
    <col min="10462" max="10462" width="7.28515625" style="34" customWidth="1"/>
    <col min="10463" max="10463" width="10" style="34" customWidth="1"/>
    <col min="10464" max="10468" width="11.85546875" style="34" customWidth="1"/>
    <col min="10469" max="10469" width="10.7109375" style="34" customWidth="1"/>
    <col min="10470" max="10470" width="21" style="34" customWidth="1"/>
    <col min="10471" max="10714" width="7.42578125" style="34"/>
    <col min="10715" max="10715" width="7.42578125" style="34" customWidth="1"/>
    <col min="10716" max="10716" width="13" style="34" customWidth="1"/>
    <col min="10717" max="10717" width="52.7109375" style="34" customWidth="1"/>
    <col min="10718" max="10718" width="7.28515625" style="34" customWidth="1"/>
    <col min="10719" max="10719" width="10" style="34" customWidth="1"/>
    <col min="10720" max="10724" width="11.85546875" style="34" customWidth="1"/>
    <col min="10725" max="10725" width="10.7109375" style="34" customWidth="1"/>
    <col min="10726" max="10726" width="21" style="34" customWidth="1"/>
    <col min="10727" max="10970" width="7.42578125" style="34"/>
    <col min="10971" max="10971" width="7.42578125" style="34" customWidth="1"/>
    <col min="10972" max="10972" width="13" style="34" customWidth="1"/>
    <col min="10973" max="10973" width="52.7109375" style="34" customWidth="1"/>
    <col min="10974" max="10974" width="7.28515625" style="34" customWidth="1"/>
    <col min="10975" max="10975" width="10" style="34" customWidth="1"/>
    <col min="10976" max="10980" width="11.85546875" style="34" customWidth="1"/>
    <col min="10981" max="10981" width="10.7109375" style="34" customWidth="1"/>
    <col min="10982" max="10982" width="21" style="34" customWidth="1"/>
    <col min="10983" max="11226" width="7.42578125" style="34"/>
    <col min="11227" max="11227" width="7.42578125" style="34" customWidth="1"/>
    <col min="11228" max="11228" width="13" style="34" customWidth="1"/>
    <col min="11229" max="11229" width="52.7109375" style="34" customWidth="1"/>
    <col min="11230" max="11230" width="7.28515625" style="34" customWidth="1"/>
    <col min="11231" max="11231" width="10" style="34" customWidth="1"/>
    <col min="11232" max="11236" width="11.85546875" style="34" customWidth="1"/>
    <col min="11237" max="11237" width="10.7109375" style="34" customWidth="1"/>
    <col min="11238" max="11238" width="21" style="34" customWidth="1"/>
    <col min="11239" max="11482" width="7.42578125" style="34"/>
    <col min="11483" max="11483" width="7.42578125" style="34" customWidth="1"/>
    <col min="11484" max="11484" width="13" style="34" customWidth="1"/>
    <col min="11485" max="11485" width="52.7109375" style="34" customWidth="1"/>
    <col min="11486" max="11486" width="7.28515625" style="34" customWidth="1"/>
    <col min="11487" max="11487" width="10" style="34" customWidth="1"/>
    <col min="11488" max="11492" width="11.85546875" style="34" customWidth="1"/>
    <col min="11493" max="11493" width="10.7109375" style="34" customWidth="1"/>
    <col min="11494" max="11494" width="21" style="34" customWidth="1"/>
    <col min="11495" max="11738" width="7.42578125" style="34"/>
    <col min="11739" max="11739" width="7.42578125" style="34" customWidth="1"/>
    <col min="11740" max="11740" width="13" style="34" customWidth="1"/>
    <col min="11741" max="11741" width="52.7109375" style="34" customWidth="1"/>
    <col min="11742" max="11742" width="7.28515625" style="34" customWidth="1"/>
    <col min="11743" max="11743" width="10" style="34" customWidth="1"/>
    <col min="11744" max="11748" width="11.85546875" style="34" customWidth="1"/>
    <col min="11749" max="11749" width="10.7109375" style="34" customWidth="1"/>
    <col min="11750" max="11750" width="21" style="34" customWidth="1"/>
    <col min="11751" max="11994" width="7.42578125" style="34"/>
    <col min="11995" max="11995" width="7.42578125" style="34" customWidth="1"/>
    <col min="11996" max="11996" width="13" style="34" customWidth="1"/>
    <col min="11997" max="11997" width="52.7109375" style="34" customWidth="1"/>
    <col min="11998" max="11998" width="7.28515625" style="34" customWidth="1"/>
    <col min="11999" max="11999" width="10" style="34" customWidth="1"/>
    <col min="12000" max="12004" width="11.85546875" style="34" customWidth="1"/>
    <col min="12005" max="12005" width="10.7109375" style="34" customWidth="1"/>
    <col min="12006" max="12006" width="21" style="34" customWidth="1"/>
    <col min="12007" max="12250" width="7.42578125" style="34"/>
    <col min="12251" max="12251" width="7.42578125" style="34" customWidth="1"/>
    <col min="12252" max="12252" width="13" style="34" customWidth="1"/>
    <col min="12253" max="12253" width="52.7109375" style="34" customWidth="1"/>
    <col min="12254" max="12254" width="7.28515625" style="34" customWidth="1"/>
    <col min="12255" max="12255" width="10" style="34" customWidth="1"/>
    <col min="12256" max="12260" width="11.85546875" style="34" customWidth="1"/>
    <col min="12261" max="12261" width="10.7109375" style="34" customWidth="1"/>
    <col min="12262" max="12262" width="21" style="34" customWidth="1"/>
    <col min="12263" max="12506" width="7.42578125" style="34"/>
    <col min="12507" max="12507" width="7.42578125" style="34" customWidth="1"/>
    <col min="12508" max="12508" width="13" style="34" customWidth="1"/>
    <col min="12509" max="12509" width="52.7109375" style="34" customWidth="1"/>
    <col min="12510" max="12510" width="7.28515625" style="34" customWidth="1"/>
    <col min="12511" max="12511" width="10" style="34" customWidth="1"/>
    <col min="12512" max="12516" width="11.85546875" style="34" customWidth="1"/>
    <col min="12517" max="12517" width="10.7109375" style="34" customWidth="1"/>
    <col min="12518" max="12518" width="21" style="34" customWidth="1"/>
    <col min="12519" max="12762" width="7.42578125" style="34"/>
    <col min="12763" max="12763" width="7.42578125" style="34" customWidth="1"/>
    <col min="12764" max="12764" width="13" style="34" customWidth="1"/>
    <col min="12765" max="12765" width="52.7109375" style="34" customWidth="1"/>
    <col min="12766" max="12766" width="7.28515625" style="34" customWidth="1"/>
    <col min="12767" max="12767" width="10" style="34" customWidth="1"/>
    <col min="12768" max="12772" width="11.85546875" style="34" customWidth="1"/>
    <col min="12773" max="12773" width="10.7109375" style="34" customWidth="1"/>
    <col min="12774" max="12774" width="21" style="34" customWidth="1"/>
    <col min="12775" max="13018" width="7.42578125" style="34"/>
    <col min="13019" max="13019" width="7.42578125" style="34" customWidth="1"/>
    <col min="13020" max="13020" width="13" style="34" customWidth="1"/>
    <col min="13021" max="13021" width="52.7109375" style="34" customWidth="1"/>
    <col min="13022" max="13022" width="7.28515625" style="34" customWidth="1"/>
    <col min="13023" max="13023" width="10" style="34" customWidth="1"/>
    <col min="13024" max="13028" width="11.85546875" style="34" customWidth="1"/>
    <col min="13029" max="13029" width="10.7109375" style="34" customWidth="1"/>
    <col min="13030" max="13030" width="21" style="34" customWidth="1"/>
    <col min="13031" max="13274" width="7.42578125" style="34"/>
    <col min="13275" max="13275" width="7.42578125" style="34" customWidth="1"/>
    <col min="13276" max="13276" width="13" style="34" customWidth="1"/>
    <col min="13277" max="13277" width="52.7109375" style="34" customWidth="1"/>
    <col min="13278" max="13278" width="7.28515625" style="34" customWidth="1"/>
    <col min="13279" max="13279" width="10" style="34" customWidth="1"/>
    <col min="13280" max="13284" width="11.85546875" style="34" customWidth="1"/>
    <col min="13285" max="13285" width="10.7109375" style="34" customWidth="1"/>
    <col min="13286" max="13286" width="21" style="34" customWidth="1"/>
    <col min="13287" max="13530" width="7.42578125" style="34"/>
    <col min="13531" max="13531" width="7.42578125" style="34" customWidth="1"/>
    <col min="13532" max="13532" width="13" style="34" customWidth="1"/>
    <col min="13533" max="13533" width="52.7109375" style="34" customWidth="1"/>
    <col min="13534" max="13534" width="7.28515625" style="34" customWidth="1"/>
    <col min="13535" max="13535" width="10" style="34" customWidth="1"/>
    <col min="13536" max="13540" width="11.85546875" style="34" customWidth="1"/>
    <col min="13541" max="13541" width="10.7109375" style="34" customWidth="1"/>
    <col min="13542" max="13542" width="21" style="34" customWidth="1"/>
    <col min="13543" max="13786" width="7.42578125" style="34"/>
    <col min="13787" max="13787" width="7.42578125" style="34" customWidth="1"/>
    <col min="13788" max="13788" width="13" style="34" customWidth="1"/>
    <col min="13789" max="13789" width="52.7109375" style="34" customWidth="1"/>
    <col min="13790" max="13790" width="7.28515625" style="34" customWidth="1"/>
    <col min="13791" max="13791" width="10" style="34" customWidth="1"/>
    <col min="13792" max="13796" width="11.85546875" style="34" customWidth="1"/>
    <col min="13797" max="13797" width="10.7109375" style="34" customWidth="1"/>
    <col min="13798" max="13798" width="21" style="34" customWidth="1"/>
    <col min="13799" max="14042" width="7.42578125" style="34"/>
    <col min="14043" max="14043" width="7.42578125" style="34" customWidth="1"/>
    <col min="14044" max="14044" width="13" style="34" customWidth="1"/>
    <col min="14045" max="14045" width="52.7109375" style="34" customWidth="1"/>
    <col min="14046" max="14046" width="7.28515625" style="34" customWidth="1"/>
    <col min="14047" max="14047" width="10" style="34" customWidth="1"/>
    <col min="14048" max="14052" width="11.85546875" style="34" customWidth="1"/>
    <col min="14053" max="14053" width="10.7109375" style="34" customWidth="1"/>
    <col min="14054" max="14054" width="21" style="34" customWidth="1"/>
    <col min="14055" max="14298" width="7.42578125" style="34"/>
    <col min="14299" max="14299" width="7.42578125" style="34" customWidth="1"/>
    <col min="14300" max="14300" width="13" style="34" customWidth="1"/>
    <col min="14301" max="14301" width="52.7109375" style="34" customWidth="1"/>
    <col min="14302" max="14302" width="7.28515625" style="34" customWidth="1"/>
    <col min="14303" max="14303" width="10" style="34" customWidth="1"/>
    <col min="14304" max="14308" width="11.85546875" style="34" customWidth="1"/>
    <col min="14309" max="14309" width="10.7109375" style="34" customWidth="1"/>
    <col min="14310" max="14310" width="21" style="34" customWidth="1"/>
    <col min="14311" max="14554" width="7.42578125" style="34"/>
    <col min="14555" max="14555" width="7.42578125" style="34" customWidth="1"/>
    <col min="14556" max="14556" width="13" style="34" customWidth="1"/>
    <col min="14557" max="14557" width="52.7109375" style="34" customWidth="1"/>
    <col min="14558" max="14558" width="7.28515625" style="34" customWidth="1"/>
    <col min="14559" max="14559" width="10" style="34" customWidth="1"/>
    <col min="14560" max="14564" width="11.85546875" style="34" customWidth="1"/>
    <col min="14565" max="14565" width="10.7109375" style="34" customWidth="1"/>
    <col min="14566" max="14566" width="21" style="34" customWidth="1"/>
    <col min="14567" max="14810" width="7.42578125" style="34"/>
    <col min="14811" max="14811" width="7.42578125" style="34" customWidth="1"/>
    <col min="14812" max="14812" width="13" style="34" customWidth="1"/>
    <col min="14813" max="14813" width="52.7109375" style="34" customWidth="1"/>
    <col min="14814" max="14814" width="7.28515625" style="34" customWidth="1"/>
    <col min="14815" max="14815" width="10" style="34" customWidth="1"/>
    <col min="14816" max="14820" width="11.85546875" style="34" customWidth="1"/>
    <col min="14821" max="14821" width="10.7109375" style="34" customWidth="1"/>
    <col min="14822" max="14822" width="21" style="34" customWidth="1"/>
    <col min="14823" max="15066" width="7.42578125" style="34"/>
    <col min="15067" max="15067" width="7.42578125" style="34" customWidth="1"/>
    <col min="15068" max="15068" width="13" style="34" customWidth="1"/>
    <col min="15069" max="15069" width="52.7109375" style="34" customWidth="1"/>
    <col min="15070" max="15070" width="7.28515625" style="34" customWidth="1"/>
    <col min="15071" max="15071" width="10" style="34" customWidth="1"/>
    <col min="15072" max="15076" width="11.85546875" style="34" customWidth="1"/>
    <col min="15077" max="15077" width="10.7109375" style="34" customWidth="1"/>
    <col min="15078" max="15078" width="21" style="34" customWidth="1"/>
    <col min="15079" max="15322" width="7.42578125" style="34"/>
    <col min="15323" max="15323" width="7.42578125" style="34" customWidth="1"/>
    <col min="15324" max="15324" width="13" style="34" customWidth="1"/>
    <col min="15325" max="15325" width="52.7109375" style="34" customWidth="1"/>
    <col min="15326" max="15326" width="7.28515625" style="34" customWidth="1"/>
    <col min="15327" max="15327" width="10" style="34" customWidth="1"/>
    <col min="15328" max="15332" width="11.85546875" style="34" customWidth="1"/>
    <col min="15333" max="15333" width="10.7109375" style="34" customWidth="1"/>
    <col min="15334" max="15334" width="21" style="34" customWidth="1"/>
    <col min="15335" max="15578" width="7.42578125" style="34"/>
    <col min="15579" max="15579" width="7.42578125" style="34" customWidth="1"/>
    <col min="15580" max="15580" width="13" style="34" customWidth="1"/>
    <col min="15581" max="15581" width="52.7109375" style="34" customWidth="1"/>
    <col min="15582" max="15582" width="7.28515625" style="34" customWidth="1"/>
    <col min="15583" max="15583" width="10" style="34" customWidth="1"/>
    <col min="15584" max="15588" width="11.85546875" style="34" customWidth="1"/>
    <col min="15589" max="15589" width="10.7109375" style="34" customWidth="1"/>
    <col min="15590" max="15590" width="21" style="34" customWidth="1"/>
    <col min="15591" max="15834" width="7.42578125" style="34"/>
    <col min="15835" max="15835" width="7.42578125" style="34" customWidth="1"/>
    <col min="15836" max="15836" width="13" style="34" customWidth="1"/>
    <col min="15837" max="15837" width="52.7109375" style="34" customWidth="1"/>
    <col min="15838" max="15838" width="7.28515625" style="34" customWidth="1"/>
    <col min="15839" max="15839" width="10" style="34" customWidth="1"/>
    <col min="15840" max="15844" width="11.85546875" style="34" customWidth="1"/>
    <col min="15845" max="15845" width="10.7109375" style="34" customWidth="1"/>
    <col min="15846" max="15846" width="21" style="34" customWidth="1"/>
    <col min="15847" max="16090" width="7.42578125" style="34"/>
    <col min="16091" max="16091" width="7.42578125" style="34" customWidth="1"/>
    <col min="16092" max="16092" width="13" style="34" customWidth="1"/>
    <col min="16093" max="16093" width="52.7109375" style="34" customWidth="1"/>
    <col min="16094" max="16094" width="7.28515625" style="34" customWidth="1"/>
    <col min="16095" max="16095" width="10" style="34" customWidth="1"/>
    <col min="16096" max="16100" width="11.85546875" style="34" customWidth="1"/>
    <col min="16101" max="16101" width="10.7109375" style="34" customWidth="1"/>
    <col min="16102" max="16102" width="21" style="34" customWidth="1"/>
    <col min="16103" max="16384" width="7.42578125" style="34"/>
  </cols>
  <sheetData>
    <row r="1" spans="1:72" ht="18.75" x14ac:dyDescent="0.25">
      <c r="A1" s="388" t="s">
        <v>149</v>
      </c>
      <c r="B1" s="290"/>
      <c r="C1" s="291"/>
      <c r="D1" s="41"/>
      <c r="E1" s="41"/>
      <c r="F1" s="42"/>
      <c r="H1" s="42"/>
      <c r="I1" s="43"/>
      <c r="J1" s="44"/>
      <c r="K1" s="44"/>
      <c r="L1" s="45"/>
      <c r="M1" s="45"/>
      <c r="N1" s="45"/>
      <c r="O1" s="45"/>
      <c r="P1" s="34"/>
    </row>
    <row r="2" spans="1:72" ht="18.75" x14ac:dyDescent="0.25">
      <c r="A2" s="389"/>
      <c r="B2" s="290"/>
      <c r="C2" s="291"/>
      <c r="D2" s="41"/>
      <c r="E2" s="41"/>
      <c r="F2" s="42"/>
      <c r="H2" s="42"/>
      <c r="I2" s="43"/>
      <c r="J2" s="44"/>
      <c r="K2" s="44"/>
      <c r="L2" s="45"/>
      <c r="M2" s="45"/>
      <c r="N2" s="45"/>
      <c r="O2" s="45"/>
      <c r="P2" s="34"/>
    </row>
    <row r="3" spans="1:72" ht="18.75" x14ac:dyDescent="0.25">
      <c r="A3" s="390" t="s">
        <v>150</v>
      </c>
      <c r="B3" s="290"/>
      <c r="C3" s="291"/>
      <c r="D3" s="41"/>
      <c r="E3" s="41"/>
      <c r="F3" s="42"/>
      <c r="H3" s="42"/>
      <c r="I3" s="43"/>
      <c r="J3" s="44"/>
      <c r="K3" s="44"/>
      <c r="L3" s="45"/>
      <c r="M3" s="45"/>
      <c r="N3" s="45"/>
      <c r="O3" s="45"/>
      <c r="P3" s="34"/>
    </row>
    <row r="4" spans="1:72" ht="18.75" x14ac:dyDescent="0.25">
      <c r="A4" s="389"/>
      <c r="B4" s="290"/>
      <c r="C4" s="291"/>
      <c r="D4" s="41"/>
      <c r="E4" s="41"/>
      <c r="F4" s="42"/>
      <c r="H4" s="42"/>
      <c r="I4" s="43"/>
      <c r="J4" s="44"/>
      <c r="K4" s="44"/>
      <c r="L4" s="45"/>
      <c r="M4" s="45"/>
      <c r="N4" s="45"/>
      <c r="O4" s="45"/>
      <c r="P4" s="34"/>
    </row>
    <row r="5" spans="1:72" ht="18.75" x14ac:dyDescent="0.25">
      <c r="A5" s="388" t="s">
        <v>151</v>
      </c>
      <c r="B5" s="290"/>
      <c r="C5" s="291"/>
      <c r="D5" s="41"/>
      <c r="E5" s="41"/>
      <c r="F5" s="42"/>
      <c r="H5" s="42"/>
      <c r="I5" s="43"/>
      <c r="J5" s="44"/>
      <c r="K5" s="44"/>
      <c r="L5" s="45"/>
      <c r="M5" s="45"/>
      <c r="N5" s="45"/>
      <c r="O5" s="45"/>
      <c r="P5" s="34"/>
    </row>
    <row r="6" spans="1:72" ht="18.75" x14ac:dyDescent="0.25">
      <c r="A6" s="40"/>
      <c r="B6" s="33"/>
      <c r="C6" s="41"/>
      <c r="D6" s="41"/>
      <c r="E6" s="41"/>
      <c r="F6" s="42"/>
      <c r="H6" s="42"/>
      <c r="I6" s="43"/>
      <c r="J6" s="44"/>
      <c r="K6" s="44"/>
      <c r="L6" s="45"/>
      <c r="M6" s="45"/>
      <c r="N6" s="45"/>
      <c r="O6" s="45"/>
      <c r="P6" s="34"/>
    </row>
    <row r="7" spans="1:72" s="18" customFormat="1" ht="38.25" customHeight="1" x14ac:dyDescent="0.25">
      <c r="A7" s="510" t="s">
        <v>8</v>
      </c>
      <c r="B7" s="510"/>
      <c r="C7" s="510"/>
      <c r="D7" s="510"/>
      <c r="E7" s="510"/>
      <c r="F7" s="510"/>
      <c r="G7" s="510"/>
      <c r="H7" s="510"/>
      <c r="I7" s="510"/>
      <c r="J7" s="510"/>
      <c r="K7" s="510"/>
      <c r="L7" s="510"/>
      <c r="M7" s="510"/>
      <c r="N7" s="510"/>
      <c r="O7" s="16"/>
      <c r="P7" s="16"/>
      <c r="Q7" s="17"/>
      <c r="R7" s="17"/>
      <c r="S7" s="17"/>
      <c r="T7" s="17"/>
      <c r="U7" s="17"/>
      <c r="V7" s="17"/>
      <c r="W7" s="17"/>
      <c r="X7" s="17"/>
      <c r="Y7" s="17"/>
      <c r="Z7" s="17"/>
      <c r="AA7" s="17"/>
      <c r="AB7" s="17"/>
      <c r="AC7" s="17"/>
      <c r="AD7" s="17"/>
      <c r="AE7" s="17"/>
      <c r="AF7" s="17"/>
      <c r="AG7" s="17"/>
      <c r="AH7" s="17"/>
      <c r="AI7" s="17"/>
      <c r="AJ7" s="17"/>
      <c r="AK7" s="17"/>
      <c r="AL7" s="17"/>
      <c r="AM7" s="17"/>
      <c r="AN7" s="17"/>
      <c r="AO7" s="17"/>
      <c r="AP7" s="17"/>
      <c r="AQ7" s="17"/>
      <c r="AR7" s="17"/>
      <c r="AS7" s="17"/>
      <c r="AT7" s="17"/>
      <c r="AU7" s="17"/>
      <c r="AV7" s="17"/>
      <c r="AW7" s="17"/>
      <c r="AX7" s="17"/>
      <c r="AY7" s="17"/>
      <c r="AZ7" s="17"/>
      <c r="BA7" s="17"/>
      <c r="BB7" s="17"/>
      <c r="BC7" s="17"/>
      <c r="BD7" s="17"/>
      <c r="BE7" s="17"/>
      <c r="BF7" s="17"/>
      <c r="BG7" s="17"/>
      <c r="BH7" s="17"/>
      <c r="BI7" s="17"/>
      <c r="BJ7" s="17"/>
      <c r="BK7" s="17"/>
      <c r="BL7" s="17"/>
      <c r="BM7" s="17"/>
      <c r="BN7" s="17"/>
      <c r="BO7" s="17"/>
      <c r="BP7" s="17"/>
      <c r="BQ7" s="17"/>
      <c r="BR7" s="17"/>
      <c r="BS7" s="17"/>
      <c r="BT7" s="17"/>
    </row>
    <row r="8" spans="1:72" s="18" customFormat="1" ht="44.25" customHeight="1" x14ac:dyDescent="0.25">
      <c r="A8" s="511" t="s">
        <v>207</v>
      </c>
      <c r="B8" s="511"/>
      <c r="C8" s="511"/>
      <c r="D8" s="511"/>
      <c r="E8" s="511"/>
      <c r="F8" s="511"/>
      <c r="G8" s="511"/>
      <c r="H8" s="511"/>
      <c r="I8" s="511"/>
      <c r="J8" s="511"/>
      <c r="K8" s="511"/>
      <c r="L8" s="511"/>
      <c r="M8" s="511"/>
      <c r="N8" s="511"/>
      <c r="O8" s="16"/>
      <c r="P8" s="16"/>
      <c r="Q8" s="17"/>
      <c r="R8" s="17"/>
      <c r="S8" s="17"/>
      <c r="T8" s="17"/>
      <c r="U8" s="17"/>
      <c r="V8" s="17"/>
      <c r="W8" s="17"/>
      <c r="X8" s="17"/>
      <c r="Y8" s="17"/>
      <c r="Z8" s="17"/>
      <c r="AA8" s="17"/>
      <c r="AB8" s="17"/>
      <c r="AC8" s="17"/>
      <c r="AD8" s="17"/>
      <c r="AE8" s="17"/>
      <c r="AF8" s="17"/>
      <c r="AG8" s="17"/>
      <c r="AH8" s="17"/>
      <c r="AI8" s="17"/>
      <c r="AJ8" s="17"/>
      <c r="AK8" s="17"/>
      <c r="AL8" s="17"/>
      <c r="AM8" s="17"/>
      <c r="AN8" s="17"/>
      <c r="AO8" s="17"/>
      <c r="AP8" s="17"/>
      <c r="AQ8" s="17"/>
      <c r="AR8" s="17"/>
      <c r="AS8" s="17"/>
      <c r="AT8" s="17"/>
      <c r="AU8" s="17"/>
      <c r="AV8" s="17"/>
      <c r="AW8" s="17"/>
      <c r="AX8" s="17"/>
      <c r="AY8" s="17"/>
      <c r="AZ8" s="17"/>
      <c r="BA8" s="17"/>
      <c r="BB8" s="17"/>
      <c r="BC8" s="17"/>
      <c r="BD8" s="17"/>
      <c r="BE8" s="17"/>
      <c r="BF8" s="17"/>
      <c r="BG8" s="17"/>
      <c r="BH8" s="17"/>
      <c r="BI8" s="17"/>
      <c r="BJ8" s="17"/>
      <c r="BK8" s="17"/>
      <c r="BL8" s="17"/>
      <c r="BM8" s="17"/>
      <c r="BN8" s="17"/>
      <c r="BO8" s="17"/>
      <c r="BP8" s="17"/>
      <c r="BQ8" s="17"/>
      <c r="BR8" s="17"/>
      <c r="BS8" s="17"/>
      <c r="BT8" s="17"/>
    </row>
    <row r="9" spans="1:72" s="20" customFormat="1" ht="118.5" customHeight="1" x14ac:dyDescent="0.25">
      <c r="A9" s="512" t="s">
        <v>208</v>
      </c>
      <c r="B9" s="512"/>
      <c r="C9" s="512"/>
      <c r="D9" s="512"/>
      <c r="E9" s="512"/>
      <c r="F9" s="512"/>
      <c r="G9" s="512"/>
      <c r="H9" s="512"/>
      <c r="I9" s="512"/>
      <c r="J9" s="512"/>
      <c r="K9" s="512"/>
      <c r="L9" s="512"/>
      <c r="M9" s="512"/>
      <c r="N9" s="512"/>
      <c r="O9" s="16"/>
      <c r="P9" s="16"/>
      <c r="Q9" s="19"/>
      <c r="R9" s="19"/>
      <c r="S9" s="19"/>
      <c r="T9" s="19"/>
      <c r="U9" s="19"/>
      <c r="V9" s="19"/>
      <c r="W9" s="19"/>
      <c r="X9" s="19"/>
      <c r="Y9" s="19"/>
      <c r="Z9" s="19"/>
      <c r="AA9" s="19"/>
      <c r="AB9" s="19"/>
      <c r="AC9" s="19"/>
      <c r="AD9" s="19"/>
      <c r="AE9" s="19"/>
      <c r="AF9" s="19"/>
      <c r="AG9" s="19"/>
      <c r="AH9" s="19"/>
      <c r="AI9" s="19"/>
      <c r="AJ9" s="19"/>
      <c r="AK9" s="19"/>
      <c r="AL9" s="19"/>
      <c r="AM9" s="19"/>
      <c r="AN9" s="19"/>
      <c r="AO9" s="19"/>
      <c r="AP9" s="19"/>
      <c r="AQ9" s="19"/>
      <c r="AR9" s="19"/>
      <c r="AS9" s="19"/>
      <c r="AT9" s="19"/>
      <c r="AU9" s="19"/>
      <c r="AV9" s="19"/>
      <c r="AW9" s="19"/>
      <c r="AX9" s="19"/>
      <c r="AY9" s="19"/>
      <c r="AZ9" s="19"/>
      <c r="BA9" s="19"/>
      <c r="BB9" s="19"/>
      <c r="BC9" s="19"/>
      <c r="BD9" s="19"/>
      <c r="BE9" s="19"/>
      <c r="BF9" s="19"/>
      <c r="BG9" s="19"/>
      <c r="BH9" s="19"/>
      <c r="BI9" s="19"/>
      <c r="BJ9" s="19"/>
      <c r="BK9" s="19"/>
      <c r="BL9" s="19"/>
      <c r="BM9" s="19"/>
      <c r="BN9" s="19"/>
      <c r="BO9" s="19"/>
      <c r="BP9" s="19"/>
      <c r="BQ9" s="19"/>
      <c r="BR9" s="19"/>
      <c r="BS9" s="19"/>
      <c r="BT9" s="19"/>
    </row>
    <row r="10" spans="1:72" s="220" customFormat="1" ht="26.25" customHeight="1" x14ac:dyDescent="0.25">
      <c r="A10" s="40"/>
      <c r="B10" s="33"/>
      <c r="C10" s="48"/>
      <c r="D10" s="48"/>
      <c r="E10" s="49"/>
      <c r="F10" s="49"/>
      <c r="G10" s="50"/>
      <c r="H10" s="50"/>
      <c r="I10" s="51"/>
      <c r="J10" s="51"/>
      <c r="K10" s="50"/>
      <c r="L10" s="50"/>
      <c r="M10" s="52"/>
      <c r="N10" s="391" t="s">
        <v>328</v>
      </c>
      <c r="O10" s="219"/>
      <c r="P10" s="219"/>
    </row>
    <row r="11" spans="1:72" s="220" customFormat="1" ht="26.25" customHeight="1" thickBot="1" x14ac:dyDescent="0.3">
      <c r="A11" s="46"/>
      <c r="B11" s="47" t="s">
        <v>9</v>
      </c>
      <c r="C11" s="48"/>
      <c r="D11" s="48"/>
      <c r="E11" s="49"/>
      <c r="F11" s="49"/>
      <c r="G11" s="50"/>
      <c r="H11" s="50"/>
      <c r="I11" s="51"/>
      <c r="J11" s="51"/>
      <c r="K11" s="50"/>
      <c r="L11" s="50"/>
      <c r="M11" s="52"/>
      <c r="N11" s="391" t="s">
        <v>326</v>
      </c>
      <c r="O11" s="219"/>
      <c r="P11" s="219"/>
    </row>
    <row r="12" spans="1:72" s="222" customFormat="1" ht="39.75" customHeight="1" x14ac:dyDescent="0.2">
      <c r="A12" s="513" t="s">
        <v>10</v>
      </c>
      <c r="B12" s="515" t="s">
        <v>11</v>
      </c>
      <c r="C12" s="517" t="s">
        <v>12</v>
      </c>
      <c r="D12" s="517" t="s">
        <v>13</v>
      </c>
      <c r="E12" s="517" t="s">
        <v>14</v>
      </c>
      <c r="F12" s="519" t="s">
        <v>15</v>
      </c>
      <c r="G12" s="521" t="s">
        <v>16</v>
      </c>
      <c r="H12" s="523" t="s">
        <v>17</v>
      </c>
      <c r="I12" s="517"/>
      <c r="J12" s="524"/>
      <c r="K12" s="525" t="s">
        <v>18</v>
      </c>
      <c r="L12" s="526"/>
      <c r="M12" s="527"/>
      <c r="N12" s="528" t="s">
        <v>19</v>
      </c>
      <c r="O12" s="221"/>
      <c r="P12" s="221"/>
    </row>
    <row r="13" spans="1:72" s="223" customFormat="1" ht="25.9" customHeight="1" x14ac:dyDescent="0.25">
      <c r="A13" s="514"/>
      <c r="B13" s="516"/>
      <c r="C13" s="518"/>
      <c r="D13" s="518"/>
      <c r="E13" s="518"/>
      <c r="F13" s="520"/>
      <c r="G13" s="522"/>
      <c r="H13" s="392" t="s">
        <v>20</v>
      </c>
      <c r="I13" s="393" t="s">
        <v>21</v>
      </c>
      <c r="J13" s="394" t="s">
        <v>22</v>
      </c>
      <c r="K13" s="392" t="s">
        <v>20</v>
      </c>
      <c r="L13" s="395" t="s">
        <v>21</v>
      </c>
      <c r="M13" s="396" t="s">
        <v>22</v>
      </c>
      <c r="N13" s="529"/>
      <c r="O13" s="221"/>
      <c r="P13" s="221"/>
    </row>
    <row r="14" spans="1:72" s="225" customFormat="1" ht="18.75" customHeight="1" thickBot="1" x14ac:dyDescent="0.3">
      <c r="A14" s="397">
        <v>1</v>
      </c>
      <c r="B14" s="398">
        <v>2</v>
      </c>
      <c r="C14" s="399">
        <v>3</v>
      </c>
      <c r="D14" s="399">
        <v>4</v>
      </c>
      <c r="E14" s="399">
        <v>5</v>
      </c>
      <c r="F14" s="399">
        <v>6</v>
      </c>
      <c r="G14" s="400">
        <v>7</v>
      </c>
      <c r="H14" s="401">
        <v>8</v>
      </c>
      <c r="I14" s="402">
        <v>9</v>
      </c>
      <c r="J14" s="403">
        <v>10</v>
      </c>
      <c r="K14" s="404">
        <v>11</v>
      </c>
      <c r="L14" s="405">
        <v>12</v>
      </c>
      <c r="M14" s="406">
        <v>13</v>
      </c>
      <c r="N14" s="407">
        <v>14</v>
      </c>
      <c r="O14" s="224"/>
      <c r="P14" s="224"/>
    </row>
    <row r="15" spans="1:72" s="227" customFormat="1" ht="27.75" customHeight="1" x14ac:dyDescent="0.25">
      <c r="A15" s="425" t="s">
        <v>23</v>
      </c>
      <c r="B15" s="426"/>
      <c r="C15" s="427" t="s">
        <v>369</v>
      </c>
      <c r="D15" s="427"/>
      <c r="E15" s="428"/>
      <c r="F15" s="428"/>
      <c r="G15" s="429"/>
      <c r="H15" s="430"/>
      <c r="I15" s="431"/>
      <c r="J15" s="432"/>
      <c r="K15" s="433">
        <f>K16</f>
        <v>0</v>
      </c>
      <c r="L15" s="434">
        <f>L16</f>
        <v>0</v>
      </c>
      <c r="M15" s="435">
        <f>L15+K15</f>
        <v>0</v>
      </c>
      <c r="N15" s="436"/>
      <c r="O15" s="16"/>
      <c r="P15" s="16"/>
      <c r="Q15" s="226"/>
      <c r="R15" s="226"/>
      <c r="S15" s="226"/>
      <c r="T15" s="226"/>
      <c r="U15" s="226"/>
      <c r="V15" s="226"/>
      <c r="W15" s="226"/>
      <c r="X15" s="226"/>
      <c r="Y15" s="226"/>
      <c r="Z15" s="226"/>
      <c r="AA15" s="226"/>
      <c r="AB15" s="226"/>
      <c r="AC15" s="226"/>
      <c r="AD15" s="226"/>
      <c r="AE15" s="226"/>
      <c r="AF15" s="226"/>
      <c r="AG15" s="226"/>
      <c r="AH15" s="226"/>
      <c r="AI15" s="226"/>
      <c r="AJ15" s="226"/>
      <c r="AK15" s="226"/>
      <c r="AL15" s="226"/>
      <c r="AM15" s="226"/>
      <c r="AN15" s="226"/>
      <c r="AO15" s="226"/>
      <c r="AP15" s="226"/>
      <c r="AQ15" s="226"/>
      <c r="AR15" s="226"/>
      <c r="AS15" s="226"/>
      <c r="AT15" s="226"/>
      <c r="AU15" s="226"/>
      <c r="AV15" s="226"/>
      <c r="AW15" s="226"/>
      <c r="AX15" s="226"/>
      <c r="AY15" s="226"/>
      <c r="AZ15" s="226"/>
      <c r="BA15" s="226"/>
      <c r="BB15" s="226"/>
      <c r="BC15" s="226"/>
      <c r="BD15" s="226"/>
      <c r="BE15" s="226"/>
      <c r="BF15" s="226"/>
      <c r="BG15" s="226"/>
      <c r="BH15" s="226"/>
      <c r="BI15" s="226"/>
      <c r="BJ15" s="226"/>
      <c r="BK15" s="226"/>
      <c r="BL15" s="226"/>
      <c r="BM15" s="226"/>
      <c r="BN15" s="226"/>
      <c r="BO15" s="226"/>
      <c r="BP15" s="226"/>
      <c r="BQ15" s="226"/>
      <c r="BR15" s="226"/>
      <c r="BS15" s="226"/>
      <c r="BT15" s="226"/>
    </row>
    <row r="16" spans="1:72" s="23" customFormat="1" ht="96" customHeight="1" outlineLevel="1" x14ac:dyDescent="0.25">
      <c r="A16" s="309" t="s">
        <v>373</v>
      </c>
      <c r="B16" s="310"/>
      <c r="C16" s="300" t="s">
        <v>370</v>
      </c>
      <c r="D16" s="301"/>
      <c r="E16" s="302" t="s">
        <v>371</v>
      </c>
      <c r="F16" s="302"/>
      <c r="G16" s="303">
        <v>1</v>
      </c>
      <c r="H16" s="503"/>
      <c r="I16" s="134"/>
      <c r="J16" s="504">
        <f>I16+H16</f>
        <v>0</v>
      </c>
      <c r="K16" s="124"/>
      <c r="L16" s="505">
        <f>G16*I16</f>
        <v>0</v>
      </c>
      <c r="M16" s="504">
        <f>K16+L16</f>
        <v>0</v>
      </c>
      <c r="N16" s="311" t="s">
        <v>372</v>
      </c>
      <c r="O16" s="230"/>
      <c r="P16" s="230"/>
      <c r="Q16" s="22"/>
      <c r="R16" s="22"/>
      <c r="S16" s="22"/>
      <c r="T16" s="22"/>
      <c r="U16" s="22"/>
      <c r="V16" s="22"/>
      <c r="W16" s="22"/>
      <c r="X16" s="22"/>
      <c r="Y16" s="22"/>
      <c r="Z16" s="22"/>
      <c r="AA16" s="22"/>
      <c r="AB16" s="22"/>
      <c r="AC16" s="22"/>
      <c r="AD16" s="22"/>
      <c r="AE16" s="22"/>
      <c r="AF16" s="22"/>
      <c r="AG16" s="22"/>
      <c r="AH16" s="22"/>
      <c r="AI16" s="22"/>
      <c r="AJ16" s="22"/>
      <c r="AK16" s="22"/>
      <c r="AL16" s="22"/>
      <c r="AM16" s="22"/>
      <c r="AN16" s="22"/>
      <c r="AO16" s="22"/>
      <c r="AP16" s="22"/>
      <c r="AQ16" s="22"/>
      <c r="AR16" s="22"/>
      <c r="AS16" s="22"/>
      <c r="AT16" s="22"/>
      <c r="AU16" s="22"/>
      <c r="AV16" s="22"/>
      <c r="AW16" s="22"/>
      <c r="AX16" s="22"/>
      <c r="AY16" s="22"/>
      <c r="AZ16" s="22"/>
      <c r="BA16" s="22"/>
      <c r="BB16" s="22"/>
      <c r="BC16" s="22"/>
      <c r="BD16" s="22"/>
      <c r="BE16" s="22"/>
      <c r="BF16" s="22"/>
      <c r="BG16" s="22"/>
      <c r="BH16" s="22"/>
      <c r="BI16" s="22"/>
      <c r="BJ16" s="22"/>
      <c r="BK16" s="22"/>
      <c r="BL16" s="22"/>
      <c r="BM16" s="22"/>
      <c r="BN16" s="22"/>
      <c r="BO16" s="22"/>
      <c r="BP16" s="22"/>
      <c r="BQ16" s="22"/>
      <c r="BR16" s="22"/>
      <c r="BS16" s="22"/>
      <c r="BT16" s="22"/>
    </row>
    <row r="17" spans="1:72" s="227" customFormat="1" ht="27.75" customHeight="1" x14ac:dyDescent="0.25">
      <c r="A17" s="425" t="s">
        <v>31</v>
      </c>
      <c r="B17" s="426"/>
      <c r="C17" s="427" t="s">
        <v>179</v>
      </c>
      <c r="D17" s="427"/>
      <c r="E17" s="428"/>
      <c r="F17" s="428"/>
      <c r="G17" s="429"/>
      <c r="H17" s="430"/>
      <c r="I17" s="431"/>
      <c r="J17" s="432"/>
      <c r="K17" s="433">
        <f>K18+K118</f>
        <v>0</v>
      </c>
      <c r="L17" s="434">
        <f>L18+L118</f>
        <v>0</v>
      </c>
      <c r="M17" s="435">
        <f>L17+K17</f>
        <v>0</v>
      </c>
      <c r="N17" s="436"/>
      <c r="O17" s="16"/>
      <c r="P17" s="16"/>
      <c r="Q17" s="226"/>
      <c r="R17" s="226"/>
      <c r="S17" s="226"/>
      <c r="T17" s="226"/>
      <c r="U17" s="226"/>
      <c r="V17" s="226"/>
      <c r="W17" s="226"/>
      <c r="X17" s="226"/>
      <c r="Y17" s="226"/>
      <c r="Z17" s="226"/>
      <c r="AA17" s="226"/>
      <c r="AB17" s="226"/>
      <c r="AC17" s="226"/>
      <c r="AD17" s="226"/>
      <c r="AE17" s="226"/>
      <c r="AF17" s="226"/>
      <c r="AG17" s="226"/>
      <c r="AH17" s="226"/>
      <c r="AI17" s="226"/>
      <c r="AJ17" s="226"/>
      <c r="AK17" s="226"/>
      <c r="AL17" s="226"/>
      <c r="AM17" s="226"/>
      <c r="AN17" s="226"/>
      <c r="AO17" s="226"/>
      <c r="AP17" s="226"/>
      <c r="AQ17" s="226"/>
      <c r="AR17" s="226"/>
      <c r="AS17" s="226"/>
      <c r="AT17" s="226"/>
      <c r="AU17" s="226"/>
      <c r="AV17" s="226"/>
      <c r="AW17" s="226"/>
      <c r="AX17" s="226"/>
      <c r="AY17" s="226"/>
      <c r="AZ17" s="226"/>
      <c r="BA17" s="226"/>
      <c r="BB17" s="226"/>
      <c r="BC17" s="226"/>
      <c r="BD17" s="226"/>
      <c r="BE17" s="226"/>
      <c r="BF17" s="226"/>
      <c r="BG17" s="226"/>
      <c r="BH17" s="226"/>
      <c r="BI17" s="226"/>
      <c r="BJ17" s="226"/>
      <c r="BK17" s="226"/>
      <c r="BL17" s="226"/>
      <c r="BM17" s="226"/>
      <c r="BN17" s="226"/>
      <c r="BO17" s="226"/>
      <c r="BP17" s="226"/>
      <c r="BQ17" s="226"/>
      <c r="BR17" s="226"/>
      <c r="BS17" s="226"/>
      <c r="BT17" s="226"/>
    </row>
    <row r="18" spans="1:72" s="227" customFormat="1" ht="27.75" customHeight="1" x14ac:dyDescent="0.25">
      <c r="A18" s="424">
        <v>1</v>
      </c>
      <c r="B18" s="267"/>
      <c r="C18" s="268" t="s">
        <v>224</v>
      </c>
      <c r="D18" s="268"/>
      <c r="E18" s="269"/>
      <c r="F18" s="269"/>
      <c r="G18" s="270"/>
      <c r="H18" s="271"/>
      <c r="I18" s="272"/>
      <c r="J18" s="273"/>
      <c r="K18" s="274">
        <f>K19+K27+K30+K45+K63+K74+K83+K86+K89+K100+K102+K108+K113+K115</f>
        <v>0</v>
      </c>
      <c r="L18" s="275">
        <f>L19+L27+L30+L45+L63+L74+L83+L86+L89+L100+L102+L108+L113+L115</f>
        <v>0</v>
      </c>
      <c r="M18" s="276">
        <f>L18+K18</f>
        <v>0</v>
      </c>
      <c r="N18" s="277"/>
      <c r="O18" s="16"/>
      <c r="P18" s="16"/>
      <c r="Q18" s="226"/>
      <c r="R18" s="226"/>
      <c r="S18" s="226"/>
      <c r="T18" s="226"/>
      <c r="U18" s="226"/>
      <c r="V18" s="226"/>
      <c r="W18" s="226"/>
      <c r="X18" s="226"/>
      <c r="Y18" s="226"/>
      <c r="Z18" s="226"/>
      <c r="AA18" s="226"/>
      <c r="AB18" s="226"/>
      <c r="AC18" s="226"/>
      <c r="AD18" s="226"/>
      <c r="AE18" s="226"/>
      <c r="AF18" s="226"/>
      <c r="AG18" s="226"/>
      <c r="AH18" s="226"/>
      <c r="AI18" s="226"/>
      <c r="AJ18" s="226"/>
      <c r="AK18" s="226"/>
      <c r="AL18" s="226"/>
      <c r="AM18" s="226"/>
      <c r="AN18" s="226"/>
      <c r="AO18" s="226"/>
      <c r="AP18" s="226"/>
      <c r="AQ18" s="226"/>
      <c r="AR18" s="226"/>
      <c r="AS18" s="226"/>
      <c r="AT18" s="226"/>
      <c r="AU18" s="226"/>
      <c r="AV18" s="226"/>
      <c r="AW18" s="226"/>
      <c r="AX18" s="226"/>
      <c r="AY18" s="226"/>
      <c r="AZ18" s="226"/>
      <c r="BA18" s="226"/>
      <c r="BB18" s="226"/>
      <c r="BC18" s="226"/>
      <c r="BD18" s="226"/>
      <c r="BE18" s="226"/>
      <c r="BF18" s="226"/>
      <c r="BG18" s="226"/>
      <c r="BH18" s="226"/>
      <c r="BI18" s="226"/>
      <c r="BJ18" s="226"/>
      <c r="BK18" s="226"/>
      <c r="BL18" s="226"/>
      <c r="BM18" s="226"/>
      <c r="BN18" s="226"/>
      <c r="BO18" s="226"/>
      <c r="BP18" s="226"/>
      <c r="BQ18" s="226"/>
      <c r="BR18" s="226"/>
      <c r="BS18" s="226"/>
      <c r="BT18" s="226"/>
    </row>
    <row r="19" spans="1:72" s="227" customFormat="1" ht="27.75" customHeight="1" x14ac:dyDescent="0.25">
      <c r="A19" s="278" t="s">
        <v>172</v>
      </c>
      <c r="B19" s="257"/>
      <c r="C19" s="258" t="s">
        <v>152</v>
      </c>
      <c r="D19" s="258"/>
      <c r="E19" s="259"/>
      <c r="F19" s="259"/>
      <c r="G19" s="355"/>
      <c r="H19" s="260"/>
      <c r="I19" s="261"/>
      <c r="J19" s="262"/>
      <c r="K19" s="372">
        <f>SUM(K20:K26)</f>
        <v>0</v>
      </c>
      <c r="L19" s="264">
        <f>SUM(L20:L26)</f>
        <v>0</v>
      </c>
      <c r="M19" s="265">
        <f>L19+K19</f>
        <v>0</v>
      </c>
      <c r="N19" s="315"/>
      <c r="O19" s="16"/>
      <c r="P19" s="16"/>
      <c r="Q19" s="226"/>
      <c r="R19" s="226"/>
      <c r="S19" s="226"/>
      <c r="T19" s="226"/>
      <c r="U19" s="226"/>
      <c r="V19" s="226"/>
      <c r="W19" s="226"/>
      <c r="X19" s="226"/>
      <c r="Y19" s="226"/>
      <c r="Z19" s="226"/>
      <c r="AA19" s="226"/>
      <c r="AB19" s="226"/>
      <c r="AC19" s="226"/>
      <c r="AD19" s="226"/>
      <c r="AE19" s="226"/>
      <c r="AF19" s="226"/>
      <c r="AG19" s="226"/>
      <c r="AH19" s="226"/>
      <c r="AI19" s="226"/>
      <c r="AJ19" s="226"/>
      <c r="AK19" s="226"/>
      <c r="AL19" s="226"/>
      <c r="AM19" s="226"/>
      <c r="AN19" s="226"/>
      <c r="AO19" s="226"/>
      <c r="AP19" s="226"/>
      <c r="AQ19" s="226"/>
      <c r="AR19" s="226"/>
      <c r="AS19" s="226"/>
      <c r="AT19" s="226"/>
      <c r="AU19" s="226"/>
      <c r="AV19" s="226"/>
      <c r="AW19" s="226"/>
      <c r="AX19" s="226"/>
      <c r="AY19" s="226"/>
      <c r="AZ19" s="226"/>
      <c r="BA19" s="226"/>
      <c r="BB19" s="226"/>
      <c r="BC19" s="226"/>
      <c r="BD19" s="226"/>
      <c r="BE19" s="226"/>
      <c r="BF19" s="226"/>
      <c r="BG19" s="226"/>
      <c r="BH19" s="226"/>
      <c r="BI19" s="226"/>
      <c r="BJ19" s="226"/>
      <c r="BK19" s="226"/>
      <c r="BL19" s="226"/>
      <c r="BM19" s="226"/>
      <c r="BN19" s="226"/>
      <c r="BO19" s="226"/>
      <c r="BP19" s="226"/>
      <c r="BQ19" s="226"/>
      <c r="BR19" s="226"/>
      <c r="BS19" s="226"/>
      <c r="BT19" s="226"/>
    </row>
    <row r="20" spans="1:72" s="23" customFormat="1" ht="49.5" customHeight="1" outlineLevel="1" x14ac:dyDescent="0.25">
      <c r="A20" s="309" t="s">
        <v>240</v>
      </c>
      <c r="B20" s="310"/>
      <c r="C20" s="300" t="s">
        <v>220</v>
      </c>
      <c r="D20" s="301"/>
      <c r="E20" s="302" t="s">
        <v>27</v>
      </c>
      <c r="F20" s="302"/>
      <c r="G20" s="303">
        <f>694</f>
        <v>694</v>
      </c>
      <c r="H20" s="124"/>
      <c r="I20" s="134"/>
      <c r="J20" s="304">
        <f>H20+I20</f>
        <v>0</v>
      </c>
      <c r="K20" s="305"/>
      <c r="L20" s="306">
        <f t="shared" ref="L20:L25" si="0">$G20*I20</f>
        <v>0</v>
      </c>
      <c r="M20" s="307">
        <f>K20+L20</f>
        <v>0</v>
      </c>
      <c r="N20" s="311"/>
      <c r="O20" s="230"/>
      <c r="P20" s="230"/>
      <c r="Q20" s="22"/>
      <c r="R20" s="22"/>
      <c r="S20" s="22"/>
      <c r="T20" s="22"/>
      <c r="U20" s="22"/>
      <c r="V20" s="22"/>
      <c r="W20" s="22"/>
      <c r="X20" s="22"/>
      <c r="Y20" s="22"/>
      <c r="Z20" s="22"/>
      <c r="AA20" s="22"/>
      <c r="AB20" s="22"/>
      <c r="AC20" s="22"/>
      <c r="AD20" s="22"/>
      <c r="AE20" s="22"/>
      <c r="AF20" s="22"/>
      <c r="AG20" s="22"/>
      <c r="AH20" s="22"/>
      <c r="AI20" s="22"/>
      <c r="AJ20" s="22"/>
      <c r="AK20" s="22"/>
      <c r="AL20" s="22"/>
      <c r="AM20" s="22"/>
      <c r="AN20" s="22"/>
      <c r="AO20" s="22"/>
      <c r="AP20" s="22"/>
      <c r="AQ20" s="22"/>
      <c r="AR20" s="22"/>
      <c r="AS20" s="22"/>
      <c r="AT20" s="22"/>
      <c r="AU20" s="22"/>
      <c r="AV20" s="22"/>
      <c r="AW20" s="22"/>
      <c r="AX20" s="22"/>
      <c r="AY20" s="22"/>
      <c r="AZ20" s="22"/>
      <c r="BA20" s="22"/>
      <c r="BB20" s="22"/>
      <c r="BC20" s="22"/>
      <c r="BD20" s="22"/>
      <c r="BE20" s="22"/>
      <c r="BF20" s="22"/>
      <c r="BG20" s="22"/>
      <c r="BH20" s="22"/>
      <c r="BI20" s="22"/>
      <c r="BJ20" s="22"/>
      <c r="BK20" s="22"/>
      <c r="BL20" s="22"/>
      <c r="BM20" s="22"/>
      <c r="BN20" s="22"/>
      <c r="BO20" s="22"/>
      <c r="BP20" s="22"/>
      <c r="BQ20" s="22"/>
      <c r="BR20" s="22"/>
      <c r="BS20" s="22"/>
      <c r="BT20" s="22"/>
    </row>
    <row r="21" spans="1:72" s="23" customFormat="1" ht="44.25" customHeight="1" outlineLevel="1" x14ac:dyDescent="0.25">
      <c r="A21" s="309" t="s">
        <v>241</v>
      </c>
      <c r="B21" s="310"/>
      <c r="C21" s="300" t="s">
        <v>221</v>
      </c>
      <c r="D21" s="301"/>
      <c r="E21" s="302" t="s">
        <v>27</v>
      </c>
      <c r="F21" s="302"/>
      <c r="G21" s="303">
        <v>2867</v>
      </c>
      <c r="H21" s="124"/>
      <c r="I21" s="134"/>
      <c r="J21" s="304">
        <f>H21+I21</f>
        <v>0</v>
      </c>
      <c r="K21" s="305"/>
      <c r="L21" s="306">
        <f t="shared" si="0"/>
        <v>0</v>
      </c>
      <c r="M21" s="307">
        <f>K21+L21</f>
        <v>0</v>
      </c>
      <c r="N21" s="311"/>
      <c r="O21" s="230"/>
      <c r="P21" s="230"/>
      <c r="Q21" s="22"/>
      <c r="R21" s="22"/>
      <c r="S21" s="22"/>
      <c r="T21" s="22"/>
      <c r="U21" s="22"/>
      <c r="V21" s="22"/>
      <c r="W21" s="22"/>
      <c r="X21" s="22"/>
      <c r="Y21" s="22"/>
      <c r="Z21" s="22"/>
      <c r="AA21" s="22"/>
      <c r="AB21" s="22"/>
      <c r="AC21" s="22"/>
      <c r="AD21" s="22"/>
      <c r="AE21" s="22"/>
      <c r="AF21" s="22"/>
      <c r="AG21" s="22"/>
      <c r="AH21" s="22"/>
      <c r="AI21" s="22"/>
      <c r="AJ21" s="22"/>
      <c r="AK21" s="22"/>
      <c r="AL21" s="22"/>
      <c r="AM21" s="22"/>
      <c r="AN21" s="22"/>
      <c r="AO21" s="22"/>
      <c r="AP21" s="22"/>
      <c r="AQ21" s="22"/>
      <c r="AR21" s="22"/>
      <c r="AS21" s="22"/>
      <c r="AT21" s="22"/>
      <c r="AU21" s="22"/>
      <c r="AV21" s="22"/>
      <c r="AW21" s="22"/>
      <c r="AX21" s="22"/>
      <c r="AY21" s="22"/>
      <c r="AZ21" s="22"/>
      <c r="BA21" s="22"/>
      <c r="BB21" s="22"/>
      <c r="BC21" s="22"/>
      <c r="BD21" s="22"/>
      <c r="BE21" s="22"/>
      <c r="BF21" s="22"/>
      <c r="BG21" s="22"/>
      <c r="BH21" s="22"/>
      <c r="BI21" s="22"/>
      <c r="BJ21" s="22"/>
      <c r="BK21" s="22"/>
      <c r="BL21" s="22"/>
      <c r="BM21" s="22"/>
      <c r="BN21" s="22"/>
      <c r="BO21" s="22"/>
      <c r="BP21" s="22"/>
      <c r="BQ21" s="22"/>
      <c r="BR21" s="22"/>
      <c r="BS21" s="22"/>
      <c r="BT21" s="22"/>
    </row>
    <row r="22" spans="1:72" s="23" customFormat="1" ht="71.25" customHeight="1" outlineLevel="1" x14ac:dyDescent="0.25">
      <c r="A22" s="309" t="s">
        <v>242</v>
      </c>
      <c r="B22" s="310"/>
      <c r="C22" s="300" t="s">
        <v>222</v>
      </c>
      <c r="D22" s="301"/>
      <c r="E22" s="302" t="s">
        <v>27</v>
      </c>
      <c r="F22" s="302"/>
      <c r="G22" s="303">
        <f>1064.7+165.5+168.8+146.74</f>
        <v>1545.74</v>
      </c>
      <c r="H22" s="124"/>
      <c r="I22" s="134"/>
      <c r="J22" s="304">
        <f>H22+I22</f>
        <v>0</v>
      </c>
      <c r="K22" s="305"/>
      <c r="L22" s="306">
        <f t="shared" si="0"/>
        <v>0</v>
      </c>
      <c r="M22" s="307">
        <f>K22+L22</f>
        <v>0</v>
      </c>
      <c r="N22" s="311" t="s">
        <v>223</v>
      </c>
      <c r="O22" s="230"/>
      <c r="P22" s="230"/>
      <c r="Q22" s="22"/>
      <c r="R22" s="22"/>
      <c r="S22" s="22"/>
      <c r="T22" s="22"/>
      <c r="U22" s="22"/>
      <c r="V22" s="22"/>
      <c r="W22" s="22"/>
      <c r="X22" s="22"/>
      <c r="Y22" s="22"/>
      <c r="Z22" s="22"/>
      <c r="AA22" s="22"/>
      <c r="AB22" s="22"/>
      <c r="AC22" s="22"/>
      <c r="AD22" s="22"/>
      <c r="AE22" s="22"/>
      <c r="AF22" s="22"/>
      <c r="AG22" s="22"/>
      <c r="AH22" s="22"/>
      <c r="AI22" s="22"/>
      <c r="AJ22" s="22"/>
      <c r="AK22" s="22"/>
      <c r="AL22" s="22"/>
      <c r="AM22" s="22"/>
      <c r="AN22" s="22"/>
      <c r="AO22" s="22"/>
      <c r="AP22" s="22"/>
      <c r="AQ22" s="22"/>
      <c r="AR22" s="22"/>
      <c r="AS22" s="22"/>
      <c r="AT22" s="22"/>
      <c r="AU22" s="22"/>
      <c r="AV22" s="22"/>
      <c r="AW22" s="22"/>
      <c r="AX22" s="22"/>
      <c r="AY22" s="22"/>
      <c r="AZ22" s="22"/>
      <c r="BA22" s="22"/>
      <c r="BB22" s="22"/>
      <c r="BC22" s="22"/>
      <c r="BD22" s="22"/>
      <c r="BE22" s="22"/>
      <c r="BF22" s="22"/>
      <c r="BG22" s="22"/>
      <c r="BH22" s="22"/>
      <c r="BI22" s="22"/>
      <c r="BJ22" s="22"/>
      <c r="BK22" s="22"/>
      <c r="BL22" s="22"/>
      <c r="BM22" s="22"/>
      <c r="BN22" s="22"/>
      <c r="BO22" s="22"/>
      <c r="BP22" s="22"/>
      <c r="BQ22" s="22"/>
      <c r="BR22" s="22"/>
      <c r="BS22" s="22"/>
      <c r="BT22" s="22"/>
    </row>
    <row r="23" spans="1:72" s="23" customFormat="1" ht="39.75" customHeight="1" outlineLevel="1" x14ac:dyDescent="0.25">
      <c r="A23" s="309" t="s">
        <v>243</v>
      </c>
      <c r="B23" s="310"/>
      <c r="C23" s="300" t="s">
        <v>148</v>
      </c>
      <c r="D23" s="301"/>
      <c r="E23" s="302" t="s">
        <v>110</v>
      </c>
      <c r="F23" s="302"/>
      <c r="G23" s="303">
        <f>102.8+420.3</f>
        <v>523.1</v>
      </c>
      <c r="H23" s="124"/>
      <c r="I23" s="134"/>
      <c r="J23" s="304">
        <f>H23+I23</f>
        <v>0</v>
      </c>
      <c r="K23" s="305"/>
      <c r="L23" s="306">
        <f t="shared" si="0"/>
        <v>0</v>
      </c>
      <c r="M23" s="307">
        <f t="shared" ref="M23:M24" si="1">K23+L23</f>
        <v>0</v>
      </c>
      <c r="N23" s="311" t="s">
        <v>219</v>
      </c>
      <c r="O23" s="230"/>
      <c r="P23" s="230"/>
      <c r="Q23" s="22"/>
      <c r="R23" s="22"/>
      <c r="S23" s="22"/>
      <c r="T23" s="22"/>
      <c r="U23" s="22"/>
      <c r="V23" s="22"/>
      <c r="W23" s="22"/>
      <c r="X23" s="22"/>
      <c r="Y23" s="22"/>
      <c r="Z23" s="22"/>
      <c r="AA23" s="22"/>
      <c r="AB23" s="22"/>
      <c r="AC23" s="22"/>
      <c r="AD23" s="22"/>
      <c r="AE23" s="22"/>
      <c r="AF23" s="22"/>
      <c r="AG23" s="22"/>
      <c r="AH23" s="22"/>
      <c r="AI23" s="22"/>
      <c r="AJ23" s="22"/>
      <c r="AK23" s="22"/>
      <c r="AL23" s="22"/>
      <c r="AM23" s="22"/>
      <c r="AN23" s="22"/>
      <c r="AO23" s="22"/>
      <c r="AP23" s="22"/>
      <c r="AQ23" s="22"/>
      <c r="AR23" s="22"/>
      <c r="AS23" s="22"/>
      <c r="AT23" s="22"/>
      <c r="AU23" s="22"/>
      <c r="AV23" s="22"/>
      <c r="AW23" s="22"/>
      <c r="AX23" s="22"/>
      <c r="AY23" s="22"/>
      <c r="AZ23" s="22"/>
      <c r="BA23" s="22"/>
      <c r="BB23" s="22"/>
      <c r="BC23" s="22"/>
      <c r="BD23" s="22"/>
      <c r="BE23" s="22"/>
      <c r="BF23" s="22"/>
      <c r="BG23" s="22"/>
      <c r="BH23" s="22"/>
      <c r="BI23" s="22"/>
      <c r="BJ23" s="22"/>
      <c r="BK23" s="22"/>
      <c r="BL23" s="22"/>
      <c r="BM23" s="22"/>
      <c r="BN23" s="22"/>
      <c r="BO23" s="22"/>
      <c r="BP23" s="22"/>
      <c r="BQ23" s="22"/>
      <c r="BR23" s="22"/>
      <c r="BS23" s="22"/>
      <c r="BT23" s="22"/>
    </row>
    <row r="24" spans="1:72" s="23" customFormat="1" ht="41.25" customHeight="1" outlineLevel="1" x14ac:dyDescent="0.25">
      <c r="A24" s="309" t="s">
        <v>244</v>
      </c>
      <c r="B24" s="310"/>
      <c r="C24" s="300" t="s">
        <v>171</v>
      </c>
      <c r="D24" s="301"/>
      <c r="E24" s="302" t="s">
        <v>166</v>
      </c>
      <c r="F24" s="302"/>
      <c r="G24" s="303">
        <v>72.900000000000006</v>
      </c>
      <c r="H24" s="124"/>
      <c r="I24" s="134"/>
      <c r="J24" s="304">
        <f t="shared" ref="J24" si="2">H24+I24</f>
        <v>0</v>
      </c>
      <c r="K24" s="305"/>
      <c r="L24" s="306">
        <f t="shared" si="0"/>
        <v>0</v>
      </c>
      <c r="M24" s="307">
        <f t="shared" si="1"/>
        <v>0</v>
      </c>
      <c r="N24" s="311" t="s">
        <v>217</v>
      </c>
      <c r="O24" s="230"/>
      <c r="P24" s="230"/>
      <c r="Q24" s="22"/>
      <c r="R24" s="22"/>
      <c r="S24" s="22"/>
      <c r="T24" s="22"/>
      <c r="U24" s="22"/>
      <c r="V24" s="22"/>
      <c r="W24" s="22"/>
      <c r="X24" s="22"/>
      <c r="Y24" s="22"/>
      <c r="Z24" s="22"/>
      <c r="AA24" s="22"/>
      <c r="AB24" s="22"/>
      <c r="AC24" s="22"/>
      <c r="AD24" s="22"/>
      <c r="AE24" s="22"/>
      <c r="AF24" s="22"/>
      <c r="AG24" s="22"/>
      <c r="AH24" s="22"/>
      <c r="AI24" s="22"/>
      <c r="AJ24" s="22"/>
      <c r="AK24" s="22"/>
      <c r="AL24" s="22"/>
      <c r="AM24" s="22"/>
      <c r="AN24" s="22"/>
      <c r="AO24" s="22"/>
      <c r="AP24" s="22"/>
      <c r="AQ24" s="22"/>
      <c r="AR24" s="22"/>
      <c r="AS24" s="22"/>
      <c r="AT24" s="22"/>
      <c r="AU24" s="22"/>
      <c r="AV24" s="22"/>
      <c r="AW24" s="22"/>
      <c r="AX24" s="22"/>
      <c r="AY24" s="22"/>
      <c r="AZ24" s="22"/>
      <c r="BA24" s="22"/>
      <c r="BB24" s="22"/>
      <c r="BC24" s="22"/>
      <c r="BD24" s="22"/>
      <c r="BE24" s="22"/>
      <c r="BF24" s="22"/>
      <c r="BG24" s="22"/>
      <c r="BH24" s="22"/>
      <c r="BI24" s="22"/>
      <c r="BJ24" s="22"/>
      <c r="BK24" s="22"/>
      <c r="BL24" s="22"/>
      <c r="BM24" s="22"/>
      <c r="BN24" s="22"/>
      <c r="BO24" s="22"/>
      <c r="BP24" s="22"/>
      <c r="BQ24" s="22"/>
      <c r="BR24" s="22"/>
      <c r="BS24" s="22"/>
      <c r="BT24" s="22"/>
    </row>
    <row r="25" spans="1:72" s="23" customFormat="1" ht="41.25" customHeight="1" outlineLevel="1" x14ac:dyDescent="0.25">
      <c r="A25" s="309" t="s">
        <v>245</v>
      </c>
      <c r="B25" s="310"/>
      <c r="C25" s="300" t="s">
        <v>215</v>
      </c>
      <c r="D25" s="301"/>
      <c r="E25" s="302" t="s">
        <v>212</v>
      </c>
      <c r="F25" s="302"/>
      <c r="G25" s="303">
        <v>1</v>
      </c>
      <c r="H25" s="124"/>
      <c r="I25" s="134"/>
      <c r="J25" s="304">
        <f t="shared" ref="J25" si="3">H25+I25</f>
        <v>0</v>
      </c>
      <c r="K25" s="305"/>
      <c r="L25" s="306">
        <f t="shared" si="0"/>
        <v>0</v>
      </c>
      <c r="M25" s="307">
        <f>K25+L25</f>
        <v>0</v>
      </c>
      <c r="N25" s="311" t="s">
        <v>216</v>
      </c>
      <c r="O25" s="230"/>
      <c r="P25" s="230"/>
      <c r="Q25" s="22"/>
      <c r="R25" s="22"/>
      <c r="S25" s="22"/>
      <c r="T25" s="22"/>
      <c r="U25" s="22"/>
      <c r="V25" s="22"/>
      <c r="W25" s="22"/>
      <c r="X25" s="22"/>
      <c r="Y25" s="22"/>
      <c r="Z25" s="22"/>
      <c r="AA25" s="22"/>
      <c r="AB25" s="22"/>
      <c r="AC25" s="22"/>
      <c r="AD25" s="22"/>
      <c r="AE25" s="22"/>
      <c r="AF25" s="22"/>
      <c r="AG25" s="22"/>
      <c r="AH25" s="22"/>
      <c r="AI25" s="22"/>
      <c r="AJ25" s="22"/>
      <c r="AK25" s="22"/>
      <c r="AL25" s="22"/>
      <c r="AM25" s="22"/>
      <c r="AN25" s="22"/>
      <c r="AO25" s="22"/>
      <c r="AP25" s="22"/>
      <c r="AQ25" s="22"/>
      <c r="AR25" s="22"/>
      <c r="AS25" s="22"/>
      <c r="AT25" s="22"/>
      <c r="AU25" s="22"/>
      <c r="AV25" s="22"/>
      <c r="AW25" s="22"/>
      <c r="AX25" s="22"/>
      <c r="AY25" s="22"/>
      <c r="AZ25" s="22"/>
      <c r="BA25" s="22"/>
      <c r="BB25" s="22"/>
      <c r="BC25" s="22"/>
      <c r="BD25" s="22"/>
      <c r="BE25" s="22"/>
      <c r="BF25" s="22"/>
      <c r="BG25" s="22"/>
      <c r="BH25" s="22"/>
      <c r="BI25" s="22"/>
      <c r="BJ25" s="22"/>
      <c r="BK25" s="22"/>
      <c r="BL25" s="22"/>
      <c r="BM25" s="22"/>
      <c r="BN25" s="22"/>
      <c r="BO25" s="22"/>
      <c r="BP25" s="22"/>
      <c r="BQ25" s="22"/>
      <c r="BR25" s="22"/>
      <c r="BS25" s="22"/>
      <c r="BT25" s="22"/>
    </row>
    <row r="26" spans="1:72" s="23" customFormat="1" ht="56.25" customHeight="1" outlineLevel="1" x14ac:dyDescent="0.25">
      <c r="A26" s="309" t="s">
        <v>246</v>
      </c>
      <c r="B26" s="310"/>
      <c r="C26" s="300" t="s">
        <v>376</v>
      </c>
      <c r="D26" s="301"/>
      <c r="E26" s="302" t="s">
        <v>33</v>
      </c>
      <c r="F26" s="302"/>
      <c r="G26" s="303">
        <f>0.73+0.45</f>
        <v>1.18</v>
      </c>
      <c r="H26" s="126"/>
      <c r="I26" s="308"/>
      <c r="J26" s="304">
        <f>H26+I26</f>
        <v>0</v>
      </c>
      <c r="K26" s="129">
        <f>G26*H26</f>
        <v>0</v>
      </c>
      <c r="L26" s="306"/>
      <c r="M26" s="307">
        <f>K26+L26</f>
        <v>0</v>
      </c>
      <c r="N26" s="58" t="s">
        <v>111</v>
      </c>
      <c r="O26" s="230"/>
      <c r="P26" s="230"/>
      <c r="Q26" s="22"/>
      <c r="R26" s="22"/>
      <c r="S26" s="22"/>
      <c r="T26" s="22"/>
      <c r="U26" s="22"/>
      <c r="V26" s="22"/>
      <c r="W26" s="22"/>
      <c r="X26" s="22"/>
      <c r="Y26" s="22"/>
      <c r="Z26" s="22"/>
      <c r="AA26" s="22"/>
      <c r="AB26" s="22"/>
      <c r="AC26" s="22"/>
      <c r="AD26" s="22"/>
      <c r="AE26" s="22"/>
      <c r="AF26" s="22"/>
      <c r="AG26" s="22"/>
      <c r="AH26" s="22"/>
      <c r="AI26" s="22"/>
      <c r="AJ26" s="22"/>
      <c r="AK26" s="22"/>
      <c r="AL26" s="22"/>
      <c r="AM26" s="22"/>
      <c r="AN26" s="22"/>
      <c r="AO26" s="22"/>
      <c r="AP26" s="22"/>
      <c r="AQ26" s="22"/>
      <c r="AR26" s="22"/>
      <c r="AS26" s="22"/>
      <c r="AT26" s="22"/>
      <c r="AU26" s="22"/>
      <c r="AV26" s="22"/>
      <c r="AW26" s="22"/>
      <c r="AX26" s="22"/>
      <c r="AY26" s="22"/>
      <c r="AZ26" s="22"/>
      <c r="BA26" s="22"/>
      <c r="BB26" s="22"/>
      <c r="BC26" s="22"/>
      <c r="BD26" s="22"/>
      <c r="BE26" s="22"/>
      <c r="BF26" s="22"/>
      <c r="BG26" s="22"/>
      <c r="BH26" s="22"/>
      <c r="BI26" s="22"/>
      <c r="BJ26" s="22"/>
      <c r="BK26" s="22"/>
      <c r="BL26" s="22"/>
      <c r="BM26" s="22"/>
      <c r="BN26" s="22"/>
      <c r="BO26" s="22"/>
      <c r="BP26" s="22"/>
      <c r="BQ26" s="22"/>
      <c r="BR26" s="22"/>
      <c r="BS26" s="22"/>
      <c r="BT26" s="22"/>
    </row>
    <row r="27" spans="1:72" s="227" customFormat="1" ht="27.75" customHeight="1" x14ac:dyDescent="0.25">
      <c r="A27" s="278" t="s">
        <v>174</v>
      </c>
      <c r="B27" s="257"/>
      <c r="C27" s="258" t="s">
        <v>24</v>
      </c>
      <c r="D27" s="258"/>
      <c r="E27" s="259"/>
      <c r="F27" s="259"/>
      <c r="G27" s="355"/>
      <c r="H27" s="260"/>
      <c r="I27" s="261"/>
      <c r="J27" s="262"/>
      <c r="K27" s="372">
        <f>SUM(K28:K29)</f>
        <v>0</v>
      </c>
      <c r="L27" s="264">
        <f>SUM(L28:L29)</f>
        <v>0</v>
      </c>
      <c r="M27" s="265">
        <f>L27+K27</f>
        <v>0</v>
      </c>
      <c r="N27" s="315"/>
      <c r="O27" s="230"/>
      <c r="P27" s="16"/>
      <c r="Q27" s="226"/>
      <c r="R27" s="226"/>
      <c r="S27" s="226"/>
      <c r="T27" s="226"/>
      <c r="U27" s="226"/>
      <c r="V27" s="226"/>
      <c r="W27" s="226"/>
      <c r="X27" s="226"/>
      <c r="Y27" s="226"/>
      <c r="Z27" s="226"/>
      <c r="AA27" s="226"/>
      <c r="AB27" s="226"/>
      <c r="AC27" s="226"/>
      <c r="AD27" s="226"/>
      <c r="AE27" s="226"/>
      <c r="AF27" s="226"/>
      <c r="AG27" s="226"/>
      <c r="AH27" s="226"/>
      <c r="AI27" s="226"/>
      <c r="AJ27" s="226"/>
      <c r="AK27" s="226"/>
      <c r="AL27" s="226"/>
      <c r="AM27" s="226"/>
      <c r="AN27" s="226"/>
      <c r="AO27" s="226"/>
      <c r="AP27" s="226"/>
      <c r="AQ27" s="226"/>
      <c r="AR27" s="226"/>
      <c r="AS27" s="226"/>
      <c r="AT27" s="226"/>
      <c r="AU27" s="226"/>
      <c r="AV27" s="226"/>
      <c r="AW27" s="226"/>
      <c r="AX27" s="226"/>
      <c r="AY27" s="226"/>
      <c r="AZ27" s="226"/>
      <c r="BA27" s="226"/>
      <c r="BB27" s="226"/>
      <c r="BC27" s="226"/>
      <c r="BD27" s="226"/>
      <c r="BE27" s="226"/>
      <c r="BF27" s="226"/>
      <c r="BG27" s="226"/>
      <c r="BH27" s="226"/>
      <c r="BI27" s="226"/>
      <c r="BJ27" s="226"/>
      <c r="BK27" s="226"/>
      <c r="BL27" s="226"/>
      <c r="BM27" s="226"/>
      <c r="BN27" s="226"/>
      <c r="BO27" s="226"/>
      <c r="BP27" s="226"/>
      <c r="BQ27" s="226"/>
      <c r="BR27" s="226"/>
      <c r="BS27" s="226"/>
      <c r="BT27" s="226"/>
    </row>
    <row r="28" spans="1:72" s="229" customFormat="1" ht="42.75" customHeight="1" outlineLevel="1" x14ac:dyDescent="0.2">
      <c r="A28" s="373" t="s">
        <v>307</v>
      </c>
      <c r="B28" s="411"/>
      <c r="C28" s="369" t="s">
        <v>26</v>
      </c>
      <c r="D28" s="408"/>
      <c r="E28" s="302" t="s">
        <v>27</v>
      </c>
      <c r="F28" s="409"/>
      <c r="G28" s="356">
        <v>4062</v>
      </c>
      <c r="H28" s="371"/>
      <c r="I28" s="134"/>
      <c r="J28" s="304">
        <f>H28+I28</f>
        <v>0</v>
      </c>
      <c r="K28" s="305"/>
      <c r="L28" s="306">
        <f>$G28*I28</f>
        <v>0</v>
      </c>
      <c r="M28" s="307">
        <f>K28+L28</f>
        <v>0</v>
      </c>
      <c r="N28" s="374"/>
      <c r="O28" s="423"/>
      <c r="P28" s="16"/>
      <c r="Q28" s="226"/>
      <c r="R28" s="226"/>
      <c r="S28" s="226"/>
      <c r="T28" s="226"/>
      <c r="U28" s="226"/>
      <c r="V28" s="226"/>
      <c r="W28" s="226"/>
      <c r="X28" s="226"/>
      <c r="Y28" s="226"/>
      <c r="Z28" s="226"/>
      <c r="AA28" s="226"/>
      <c r="AB28" s="226"/>
      <c r="AC28" s="226"/>
      <c r="AD28" s="226"/>
      <c r="AE28" s="226"/>
      <c r="AF28" s="226"/>
      <c r="AG28" s="226"/>
      <c r="AH28" s="226"/>
      <c r="AI28" s="226"/>
      <c r="AJ28" s="226"/>
      <c r="AK28" s="226"/>
      <c r="AL28" s="226"/>
      <c r="AM28" s="226"/>
      <c r="AN28" s="226"/>
      <c r="AO28" s="226"/>
      <c r="AP28" s="226"/>
      <c r="AQ28" s="226"/>
      <c r="AR28" s="226"/>
      <c r="AS28" s="226"/>
      <c r="AT28" s="226"/>
      <c r="AU28" s="226"/>
      <c r="AV28" s="226"/>
      <c r="AW28" s="226"/>
      <c r="AX28" s="226"/>
      <c r="AY28" s="226"/>
      <c r="AZ28" s="226"/>
      <c r="BA28" s="226"/>
      <c r="BB28" s="226"/>
      <c r="BC28" s="226"/>
      <c r="BD28" s="226"/>
      <c r="BE28" s="226"/>
      <c r="BF28" s="226"/>
      <c r="BG28" s="226"/>
      <c r="BH28" s="226"/>
      <c r="BI28" s="226"/>
      <c r="BJ28" s="226"/>
      <c r="BK28" s="226"/>
      <c r="BL28" s="226"/>
      <c r="BM28" s="226"/>
      <c r="BN28" s="226"/>
      <c r="BO28" s="226"/>
      <c r="BP28" s="226"/>
      <c r="BQ28" s="226"/>
      <c r="BR28" s="226"/>
      <c r="BS28" s="226"/>
      <c r="BT28" s="226"/>
    </row>
    <row r="29" spans="1:72" s="23" customFormat="1" ht="48.75" customHeight="1" outlineLevel="1" x14ac:dyDescent="0.25">
      <c r="A29" s="309" t="s">
        <v>308</v>
      </c>
      <c r="B29" s="310"/>
      <c r="C29" s="300" t="s">
        <v>30</v>
      </c>
      <c r="D29" s="301"/>
      <c r="E29" s="302" t="s">
        <v>25</v>
      </c>
      <c r="F29" s="302"/>
      <c r="G29" s="303">
        <v>3204</v>
      </c>
      <c r="H29" s="124"/>
      <c r="I29" s="134"/>
      <c r="J29" s="304">
        <f>H29+I29</f>
        <v>0</v>
      </c>
      <c r="K29" s="305"/>
      <c r="L29" s="306">
        <f>$G29*I29</f>
        <v>0</v>
      </c>
      <c r="M29" s="307">
        <f>K29+L29</f>
        <v>0</v>
      </c>
      <c r="N29" s="311"/>
      <c r="O29" s="21"/>
      <c r="P29" s="230"/>
      <c r="Q29" s="22"/>
      <c r="R29" s="22"/>
      <c r="S29" s="22"/>
      <c r="T29" s="22"/>
      <c r="U29" s="22"/>
      <c r="V29" s="22"/>
      <c r="W29" s="22"/>
      <c r="X29" s="22"/>
      <c r="Y29" s="22"/>
      <c r="Z29" s="22"/>
      <c r="AA29" s="22"/>
      <c r="AB29" s="22"/>
      <c r="AC29" s="22"/>
      <c r="AD29" s="22"/>
      <c r="AE29" s="22"/>
      <c r="AF29" s="22"/>
      <c r="AG29" s="22"/>
      <c r="AH29" s="22"/>
      <c r="AI29" s="22"/>
      <c r="AJ29" s="22"/>
      <c r="AK29" s="22"/>
      <c r="AL29" s="22"/>
      <c r="AM29" s="22"/>
      <c r="AN29" s="22"/>
      <c r="AO29" s="22"/>
      <c r="AP29" s="22"/>
      <c r="AQ29" s="22"/>
      <c r="AR29" s="22"/>
      <c r="AS29" s="22"/>
      <c r="AT29" s="22"/>
      <c r="AU29" s="22"/>
      <c r="AV29" s="22"/>
      <c r="AW29" s="22"/>
      <c r="AX29" s="22"/>
      <c r="AY29" s="22"/>
      <c r="AZ29" s="22"/>
      <c r="BA29" s="22"/>
      <c r="BB29" s="22"/>
      <c r="BC29" s="22"/>
      <c r="BD29" s="22"/>
      <c r="BE29" s="22"/>
      <c r="BF29" s="22"/>
      <c r="BG29" s="22"/>
      <c r="BH29" s="22"/>
      <c r="BI29" s="22"/>
      <c r="BJ29" s="22"/>
      <c r="BK29" s="22"/>
      <c r="BL29" s="22"/>
      <c r="BM29" s="22"/>
      <c r="BN29" s="22"/>
      <c r="BO29" s="22"/>
      <c r="BP29" s="22"/>
      <c r="BQ29" s="22"/>
      <c r="BR29" s="22"/>
      <c r="BS29" s="22"/>
      <c r="BT29" s="22"/>
    </row>
    <row r="30" spans="1:72" s="23" customFormat="1" ht="27" customHeight="1" x14ac:dyDescent="0.25">
      <c r="A30" s="278" t="s">
        <v>175</v>
      </c>
      <c r="B30" s="257"/>
      <c r="C30" s="258" t="s">
        <v>32</v>
      </c>
      <c r="D30" s="259">
        <f>SUM(D31:D44)</f>
        <v>1.53</v>
      </c>
      <c r="E30" s="259" t="s">
        <v>27</v>
      </c>
      <c r="F30" s="259"/>
      <c r="G30" s="314">
        <v>439</v>
      </c>
      <c r="H30" s="260"/>
      <c r="I30" s="261"/>
      <c r="J30" s="262"/>
      <c r="K30" s="263">
        <f>SUM(K31:K44)</f>
        <v>0</v>
      </c>
      <c r="L30" s="264">
        <f>SUM(L31:L44)</f>
        <v>0</v>
      </c>
      <c r="M30" s="265">
        <f>L30+K30</f>
        <v>0</v>
      </c>
      <c r="N30" s="59"/>
      <c r="O30" s="24"/>
      <c r="P30" s="24"/>
      <c r="Q30" s="22"/>
      <c r="R30" s="22"/>
      <c r="S30" s="22"/>
      <c r="T30" s="22"/>
      <c r="U30" s="22"/>
      <c r="V30" s="22"/>
      <c r="W30" s="22"/>
      <c r="X30" s="22"/>
      <c r="Y30" s="22"/>
      <c r="Z30" s="22"/>
      <c r="AA30" s="22"/>
      <c r="AB30" s="22"/>
      <c r="AC30" s="22"/>
      <c r="AD30" s="22"/>
      <c r="AE30" s="22"/>
      <c r="AF30" s="22"/>
      <c r="AG30" s="22"/>
      <c r="AH30" s="22"/>
      <c r="AI30" s="22"/>
      <c r="AJ30" s="22"/>
      <c r="AK30" s="22"/>
      <c r="AL30" s="22"/>
      <c r="AM30" s="22"/>
      <c r="AN30" s="22"/>
      <c r="AO30" s="22"/>
      <c r="AP30" s="22"/>
      <c r="AQ30" s="22"/>
      <c r="AR30" s="22"/>
      <c r="AS30" s="22"/>
      <c r="AT30" s="22"/>
      <c r="AU30" s="22"/>
      <c r="AV30" s="22"/>
      <c r="AW30" s="22"/>
      <c r="AX30" s="22"/>
      <c r="AY30" s="22"/>
      <c r="AZ30" s="22"/>
      <c r="BA30" s="22"/>
      <c r="BB30" s="22"/>
      <c r="BC30" s="22"/>
      <c r="BD30" s="22"/>
      <c r="BE30" s="22"/>
      <c r="BF30" s="22"/>
      <c r="BG30" s="22"/>
      <c r="BH30" s="22"/>
      <c r="BI30" s="22"/>
      <c r="BJ30" s="22"/>
      <c r="BK30" s="22"/>
      <c r="BL30" s="22"/>
      <c r="BM30" s="22"/>
      <c r="BN30" s="22"/>
      <c r="BO30" s="22"/>
      <c r="BP30" s="22"/>
      <c r="BQ30" s="22"/>
      <c r="BR30" s="22"/>
      <c r="BS30" s="22"/>
      <c r="BT30" s="22"/>
    </row>
    <row r="31" spans="1:72" s="23" customFormat="1" ht="60" customHeight="1" outlineLevel="1" x14ac:dyDescent="0.25">
      <c r="A31" s="441" t="s">
        <v>250</v>
      </c>
      <c r="B31" s="442"/>
      <c r="C31" s="443" t="s">
        <v>247</v>
      </c>
      <c r="D31" s="442">
        <v>0.05</v>
      </c>
      <c r="E31" s="442" t="s">
        <v>27</v>
      </c>
      <c r="F31" s="444"/>
      <c r="G31" s="445">
        <f>G30</f>
        <v>439</v>
      </c>
      <c r="H31" s="446">
        <f>H32*$G32/$G31</f>
        <v>0</v>
      </c>
      <c r="I31" s="447"/>
      <c r="J31" s="448">
        <f>H31+I31</f>
        <v>0</v>
      </c>
      <c r="K31" s="449">
        <f>G31*H31</f>
        <v>0</v>
      </c>
      <c r="L31" s="450">
        <f>G31*I31</f>
        <v>0</v>
      </c>
      <c r="M31" s="448">
        <f>L31+K31</f>
        <v>0</v>
      </c>
      <c r="N31" s="451"/>
      <c r="O31" s="24"/>
      <c r="P31" s="21"/>
      <c r="Q31" s="22"/>
      <c r="R31" s="22"/>
      <c r="S31" s="22"/>
      <c r="T31" s="22"/>
      <c r="U31" s="22"/>
      <c r="V31" s="22"/>
      <c r="W31" s="22"/>
      <c r="X31" s="22"/>
      <c r="Y31" s="22"/>
      <c r="Z31" s="22"/>
      <c r="AA31" s="22"/>
      <c r="AB31" s="22"/>
      <c r="AC31" s="22"/>
      <c r="AD31" s="22"/>
      <c r="AE31" s="22"/>
      <c r="AF31" s="22"/>
      <c r="AG31" s="22"/>
      <c r="AH31" s="22"/>
      <c r="AI31" s="22"/>
      <c r="AJ31" s="22"/>
      <c r="AK31" s="22"/>
      <c r="AL31" s="22"/>
      <c r="AM31" s="22"/>
      <c r="AN31" s="22"/>
      <c r="AO31" s="22"/>
      <c r="AP31" s="22"/>
      <c r="AQ31" s="22"/>
      <c r="AR31" s="22"/>
      <c r="AS31" s="22"/>
      <c r="AT31" s="22"/>
      <c r="AU31" s="22"/>
      <c r="AV31" s="22"/>
      <c r="AW31" s="22"/>
      <c r="AX31" s="22"/>
      <c r="AY31" s="22"/>
      <c r="AZ31" s="22"/>
      <c r="BA31" s="22"/>
      <c r="BB31" s="22"/>
      <c r="BC31" s="22"/>
      <c r="BD31" s="22"/>
      <c r="BE31" s="22"/>
      <c r="BF31" s="22"/>
      <c r="BG31" s="22"/>
      <c r="BH31" s="22"/>
      <c r="BI31" s="22"/>
      <c r="BJ31" s="22"/>
      <c r="BK31" s="22"/>
      <c r="BL31" s="22"/>
      <c r="BM31" s="22"/>
      <c r="BN31" s="22"/>
      <c r="BO31" s="22"/>
      <c r="BP31" s="22"/>
      <c r="BQ31" s="22"/>
      <c r="BR31" s="22"/>
      <c r="BS31" s="22"/>
      <c r="BT31" s="22"/>
    </row>
    <row r="32" spans="1:72" s="23" customFormat="1" ht="42.75" customHeight="1" outlineLevel="1" x14ac:dyDescent="0.25">
      <c r="A32" s="452" t="s">
        <v>251</v>
      </c>
      <c r="B32" s="453"/>
      <c r="C32" s="454" t="s">
        <v>248</v>
      </c>
      <c r="D32" s="455"/>
      <c r="E32" s="455" t="s">
        <v>33</v>
      </c>
      <c r="F32" s="456">
        <f>D31*2.4</f>
        <v>0.12</v>
      </c>
      <c r="G32" s="457">
        <f>F32*G31</f>
        <v>52.68</v>
      </c>
      <c r="H32" s="458"/>
      <c r="I32" s="459"/>
      <c r="J32" s="460"/>
      <c r="K32" s="461"/>
      <c r="L32" s="459"/>
      <c r="M32" s="460"/>
      <c r="N32" s="462"/>
      <c r="O32" s="21"/>
      <c r="P32" s="21"/>
      <c r="Q32" s="22"/>
      <c r="R32" s="22"/>
      <c r="S32" s="22"/>
      <c r="T32" s="22"/>
      <c r="U32" s="22"/>
      <c r="V32" s="22"/>
      <c r="W32" s="22"/>
      <c r="X32" s="22"/>
      <c r="Y32" s="22"/>
      <c r="Z32" s="22"/>
      <c r="AA32" s="22"/>
      <c r="AB32" s="22"/>
      <c r="AC32" s="22"/>
      <c r="AD32" s="22"/>
      <c r="AE32" s="22"/>
      <c r="AF32" s="22"/>
      <c r="AG32" s="22"/>
      <c r="AH32" s="22"/>
      <c r="AI32" s="22"/>
      <c r="AJ32" s="22"/>
      <c r="AK32" s="22"/>
      <c r="AL32" s="22"/>
      <c r="AM32" s="22"/>
      <c r="AN32" s="22"/>
      <c r="AO32" s="22"/>
      <c r="AP32" s="22"/>
      <c r="AQ32" s="22"/>
      <c r="AR32" s="22"/>
      <c r="AS32" s="22"/>
      <c r="AT32" s="22"/>
      <c r="AU32" s="22"/>
      <c r="AV32" s="22"/>
      <c r="AW32" s="22"/>
      <c r="AX32" s="22"/>
      <c r="AY32" s="22"/>
      <c r="AZ32" s="22"/>
      <c r="BA32" s="22"/>
      <c r="BB32" s="22"/>
      <c r="BC32" s="22"/>
      <c r="BD32" s="22"/>
      <c r="BE32" s="22"/>
      <c r="BF32" s="22"/>
      <c r="BG32" s="22"/>
      <c r="BH32" s="22"/>
      <c r="BI32" s="22"/>
      <c r="BJ32" s="22"/>
      <c r="BK32" s="22"/>
      <c r="BL32" s="22"/>
      <c r="BM32" s="22"/>
      <c r="BN32" s="22"/>
      <c r="BO32" s="22"/>
      <c r="BP32" s="22"/>
      <c r="BQ32" s="22"/>
      <c r="BR32" s="22"/>
      <c r="BS32" s="22"/>
      <c r="BT32" s="22"/>
    </row>
    <row r="33" spans="1:72" s="23" customFormat="1" ht="35.25" customHeight="1" outlineLevel="1" x14ac:dyDescent="0.25">
      <c r="A33" s="441" t="s">
        <v>252</v>
      </c>
      <c r="B33" s="442"/>
      <c r="C33" s="463" t="s">
        <v>180</v>
      </c>
      <c r="D33" s="442"/>
      <c r="E33" s="442" t="s">
        <v>27</v>
      </c>
      <c r="F33" s="444"/>
      <c r="G33" s="445">
        <v>157.30000000000001</v>
      </c>
      <c r="H33" s="446">
        <f>H34*$G34/$G33</f>
        <v>0</v>
      </c>
      <c r="I33" s="447"/>
      <c r="J33" s="448">
        <f>H33+I33</f>
        <v>0</v>
      </c>
      <c r="K33" s="449">
        <f>G33*H33</f>
        <v>0</v>
      </c>
      <c r="L33" s="450">
        <f>G33*I33</f>
        <v>0</v>
      </c>
      <c r="M33" s="448">
        <f>L33+K33</f>
        <v>0</v>
      </c>
      <c r="N33" s="462"/>
      <c r="O33" s="24"/>
      <c r="P33" s="21"/>
      <c r="Q33" s="22"/>
      <c r="R33" s="22"/>
      <c r="S33" s="22"/>
      <c r="T33" s="22"/>
      <c r="U33" s="22"/>
      <c r="V33" s="22"/>
      <c r="W33" s="22"/>
      <c r="X33" s="22"/>
      <c r="Y33" s="22"/>
      <c r="Z33" s="22"/>
      <c r="AA33" s="22"/>
      <c r="AB33" s="22"/>
      <c r="AC33" s="22"/>
      <c r="AD33" s="22"/>
      <c r="AE33" s="22"/>
      <c r="AF33" s="22"/>
      <c r="AG33" s="22"/>
      <c r="AH33" s="22"/>
      <c r="AI33" s="22"/>
      <c r="AJ33" s="22"/>
      <c r="AK33" s="22"/>
      <c r="AL33" s="22"/>
      <c r="AM33" s="22"/>
      <c r="AN33" s="22"/>
      <c r="AO33" s="22"/>
      <c r="AP33" s="22"/>
      <c r="AQ33" s="22"/>
      <c r="AR33" s="22"/>
      <c r="AS33" s="22"/>
      <c r="AT33" s="22"/>
      <c r="AU33" s="22"/>
      <c r="AV33" s="22"/>
      <c r="AW33" s="22"/>
      <c r="AX33" s="22"/>
      <c r="AY33" s="22"/>
      <c r="AZ33" s="22"/>
      <c r="BA33" s="22"/>
      <c r="BB33" s="22"/>
      <c r="BC33" s="22"/>
      <c r="BD33" s="22"/>
      <c r="BE33" s="22"/>
      <c r="BF33" s="22"/>
      <c r="BG33" s="22"/>
      <c r="BH33" s="22"/>
      <c r="BI33" s="22"/>
      <c r="BJ33" s="22"/>
      <c r="BK33" s="22"/>
      <c r="BL33" s="22"/>
      <c r="BM33" s="22"/>
      <c r="BN33" s="22"/>
      <c r="BO33" s="22"/>
      <c r="BP33" s="22"/>
      <c r="BQ33" s="22"/>
      <c r="BR33" s="22"/>
      <c r="BS33" s="22"/>
      <c r="BT33" s="22"/>
    </row>
    <row r="34" spans="1:72" s="23" customFormat="1" ht="33" customHeight="1" outlineLevel="1" x14ac:dyDescent="0.25">
      <c r="A34" s="452" t="s">
        <v>253</v>
      </c>
      <c r="B34" s="453"/>
      <c r="C34" s="454" t="s">
        <v>181</v>
      </c>
      <c r="D34" s="455"/>
      <c r="E34" s="455" t="s">
        <v>27</v>
      </c>
      <c r="F34" s="464">
        <v>1.1000000000000001</v>
      </c>
      <c r="G34" s="457">
        <f>F34*G33</f>
        <v>173.03</v>
      </c>
      <c r="H34" s="458"/>
      <c r="I34" s="459"/>
      <c r="J34" s="460"/>
      <c r="K34" s="461"/>
      <c r="L34" s="459"/>
      <c r="M34" s="460"/>
      <c r="N34" s="462"/>
      <c r="O34" s="21"/>
      <c r="P34" s="21"/>
      <c r="Q34" s="22"/>
      <c r="R34" s="22"/>
      <c r="S34" s="22"/>
      <c r="T34" s="22"/>
      <c r="U34" s="22"/>
      <c r="V34" s="22"/>
      <c r="W34" s="22"/>
      <c r="X34" s="22"/>
      <c r="Y34" s="22"/>
      <c r="Z34" s="22"/>
      <c r="AA34" s="22"/>
      <c r="AB34" s="22"/>
      <c r="AC34" s="22"/>
      <c r="AD34" s="22"/>
      <c r="AE34" s="22"/>
      <c r="AF34" s="22"/>
      <c r="AG34" s="22"/>
      <c r="AH34" s="22"/>
      <c r="AI34" s="22"/>
      <c r="AJ34" s="22"/>
      <c r="AK34" s="22"/>
      <c r="AL34" s="22"/>
      <c r="AM34" s="22"/>
      <c r="AN34" s="22"/>
      <c r="AO34" s="22"/>
      <c r="AP34" s="22"/>
      <c r="AQ34" s="22"/>
      <c r="AR34" s="22"/>
      <c r="AS34" s="22"/>
      <c r="AT34" s="22"/>
      <c r="AU34" s="22"/>
      <c r="AV34" s="22"/>
      <c r="AW34" s="22"/>
      <c r="AX34" s="22"/>
      <c r="AY34" s="22"/>
      <c r="AZ34" s="22"/>
      <c r="BA34" s="22"/>
      <c r="BB34" s="22"/>
      <c r="BC34" s="22"/>
      <c r="BD34" s="22"/>
      <c r="BE34" s="22"/>
      <c r="BF34" s="22"/>
      <c r="BG34" s="22"/>
      <c r="BH34" s="22"/>
      <c r="BI34" s="22"/>
      <c r="BJ34" s="22"/>
      <c r="BK34" s="22"/>
      <c r="BL34" s="22"/>
      <c r="BM34" s="22"/>
      <c r="BN34" s="22"/>
      <c r="BO34" s="22"/>
      <c r="BP34" s="22"/>
      <c r="BQ34" s="22"/>
      <c r="BR34" s="22"/>
      <c r="BS34" s="22"/>
      <c r="BT34" s="22"/>
    </row>
    <row r="35" spans="1:72" s="23" customFormat="1" ht="59.25" customHeight="1" outlineLevel="1" x14ac:dyDescent="0.25">
      <c r="A35" s="441" t="s">
        <v>254</v>
      </c>
      <c r="B35" s="54"/>
      <c r="C35" s="443" t="s">
        <v>156</v>
      </c>
      <c r="D35" s="442">
        <v>0.1</v>
      </c>
      <c r="E35" s="442" t="s">
        <v>27</v>
      </c>
      <c r="F35" s="444"/>
      <c r="G35" s="457">
        <f>G30</f>
        <v>439</v>
      </c>
      <c r="H35" s="446">
        <f>H36*$G36/$G35</f>
        <v>0</v>
      </c>
      <c r="I35" s="447"/>
      <c r="J35" s="448">
        <f>H35+I35</f>
        <v>0</v>
      </c>
      <c r="K35" s="449">
        <f>G35*H35</f>
        <v>0</v>
      </c>
      <c r="L35" s="450">
        <f>G35*I35</f>
        <v>0</v>
      </c>
      <c r="M35" s="448">
        <f>L35+K35</f>
        <v>0</v>
      </c>
      <c r="N35" s="451"/>
      <c r="O35" s="21"/>
      <c r="P35" s="21"/>
      <c r="Q35" s="22"/>
      <c r="R35" s="22"/>
      <c r="S35" s="22"/>
      <c r="T35" s="22"/>
      <c r="U35" s="22"/>
      <c r="V35" s="22"/>
      <c r="W35" s="22"/>
      <c r="X35" s="22"/>
      <c r="Y35" s="22"/>
      <c r="Z35" s="22"/>
      <c r="AA35" s="22"/>
      <c r="AB35" s="22"/>
      <c r="AC35" s="22"/>
      <c r="AD35" s="22"/>
      <c r="AE35" s="22"/>
      <c r="AF35" s="22"/>
      <c r="AG35" s="22"/>
      <c r="AH35" s="22"/>
      <c r="AI35" s="22"/>
      <c r="AJ35" s="22"/>
      <c r="AK35" s="22"/>
      <c r="AL35" s="22"/>
      <c r="AM35" s="22"/>
      <c r="AN35" s="22"/>
      <c r="AO35" s="22"/>
      <c r="AP35" s="22"/>
      <c r="AQ35" s="22"/>
      <c r="AR35" s="22"/>
      <c r="AS35" s="22"/>
      <c r="AT35" s="22"/>
      <c r="AU35" s="22"/>
      <c r="AV35" s="22"/>
      <c r="AW35" s="22"/>
      <c r="AX35" s="22"/>
      <c r="AY35" s="22"/>
      <c r="AZ35" s="22"/>
      <c r="BA35" s="22"/>
      <c r="BB35" s="22"/>
      <c r="BC35" s="22"/>
      <c r="BD35" s="22"/>
      <c r="BE35" s="22"/>
      <c r="BF35" s="22"/>
      <c r="BG35" s="22"/>
      <c r="BH35" s="22"/>
      <c r="BI35" s="22"/>
      <c r="BJ35" s="22"/>
      <c r="BK35" s="22"/>
      <c r="BL35" s="22"/>
      <c r="BM35" s="22"/>
      <c r="BN35" s="22"/>
      <c r="BO35" s="22"/>
      <c r="BP35" s="22"/>
      <c r="BQ35" s="22"/>
      <c r="BR35" s="22"/>
      <c r="BS35" s="22"/>
      <c r="BT35" s="22"/>
    </row>
    <row r="36" spans="1:72" s="23" customFormat="1" ht="58.5" customHeight="1" outlineLevel="1" x14ac:dyDescent="0.25">
      <c r="A36" s="452" t="s">
        <v>255</v>
      </c>
      <c r="B36" s="453"/>
      <c r="C36" s="465" t="s">
        <v>157</v>
      </c>
      <c r="D36" s="455"/>
      <c r="E36" s="466" t="s">
        <v>33</v>
      </c>
      <c r="F36" s="466">
        <f>D35*2.4</f>
        <v>0.24</v>
      </c>
      <c r="G36" s="457">
        <f>G35*F36</f>
        <v>105.36</v>
      </c>
      <c r="H36" s="458"/>
      <c r="I36" s="459"/>
      <c r="J36" s="460"/>
      <c r="K36" s="461"/>
      <c r="L36" s="459"/>
      <c r="M36" s="460"/>
      <c r="N36" s="57"/>
      <c r="O36" s="21"/>
      <c r="P36" s="21"/>
      <c r="Q36" s="22"/>
      <c r="R36" s="22"/>
      <c r="S36" s="22"/>
      <c r="T36" s="22"/>
      <c r="U36" s="22"/>
      <c r="V36" s="22"/>
      <c r="W36" s="22"/>
      <c r="X36" s="22"/>
      <c r="Y36" s="22"/>
      <c r="Z36" s="22"/>
      <c r="AA36" s="22"/>
      <c r="AB36" s="22"/>
      <c r="AC36" s="22"/>
      <c r="AD36" s="22"/>
      <c r="AE36" s="22"/>
      <c r="AF36" s="22"/>
      <c r="AG36" s="22"/>
      <c r="AH36" s="22"/>
      <c r="AI36" s="22"/>
      <c r="AJ36" s="22"/>
      <c r="AK36" s="22"/>
      <c r="AL36" s="22"/>
      <c r="AM36" s="22"/>
      <c r="AN36" s="22"/>
      <c r="AO36" s="22"/>
      <c r="AP36" s="22"/>
      <c r="AQ36" s="22"/>
      <c r="AR36" s="22"/>
      <c r="AS36" s="22"/>
      <c r="AT36" s="22"/>
      <c r="AU36" s="22"/>
      <c r="AV36" s="22"/>
      <c r="AW36" s="22"/>
      <c r="AX36" s="22"/>
      <c r="AY36" s="22"/>
      <c r="AZ36" s="22"/>
      <c r="BA36" s="22"/>
      <c r="BB36" s="22"/>
      <c r="BC36" s="22"/>
      <c r="BD36" s="22"/>
      <c r="BE36" s="22"/>
      <c r="BF36" s="22"/>
      <c r="BG36" s="22"/>
      <c r="BH36" s="22"/>
      <c r="BI36" s="22"/>
      <c r="BJ36" s="22"/>
      <c r="BK36" s="22"/>
      <c r="BL36" s="22"/>
      <c r="BM36" s="22"/>
      <c r="BN36" s="22"/>
      <c r="BO36" s="22"/>
      <c r="BP36" s="22"/>
      <c r="BQ36" s="22"/>
      <c r="BR36" s="22"/>
      <c r="BS36" s="22"/>
      <c r="BT36" s="22"/>
    </row>
    <row r="37" spans="1:72" s="23" customFormat="1" ht="41.25" customHeight="1" outlineLevel="1" x14ac:dyDescent="0.25">
      <c r="A37" s="441" t="s">
        <v>256</v>
      </c>
      <c r="B37" s="442"/>
      <c r="C37" s="463" t="s">
        <v>158</v>
      </c>
      <c r="D37" s="442">
        <v>0.4</v>
      </c>
      <c r="E37" s="442" t="s">
        <v>25</v>
      </c>
      <c r="F37" s="444"/>
      <c r="G37" s="467">
        <f>G30*D37</f>
        <v>175.6</v>
      </c>
      <c r="H37" s="446">
        <f>H38*$G38/$G37</f>
        <v>0</v>
      </c>
      <c r="I37" s="447"/>
      <c r="J37" s="448">
        <f>H37+I37</f>
        <v>0</v>
      </c>
      <c r="K37" s="449">
        <f>G37*H37</f>
        <v>0</v>
      </c>
      <c r="L37" s="450">
        <f>G37*I37</f>
        <v>0</v>
      </c>
      <c r="M37" s="448">
        <f>L37+K37</f>
        <v>0</v>
      </c>
      <c r="N37" s="468"/>
      <c r="O37" s="233"/>
      <c r="P37" s="231"/>
      <c r="Q37" s="232"/>
      <c r="R37" s="232"/>
      <c r="S37" s="232"/>
      <c r="T37" s="232"/>
      <c r="U37" s="232"/>
      <c r="V37" s="232"/>
      <c r="W37" s="232"/>
      <c r="X37" s="232"/>
      <c r="Y37" s="232"/>
      <c r="Z37" s="232"/>
      <c r="AA37" s="22"/>
      <c r="AB37" s="22"/>
      <c r="AC37" s="22"/>
      <c r="AD37" s="22"/>
      <c r="AE37" s="22"/>
      <c r="AF37" s="22"/>
      <c r="AG37" s="22"/>
      <c r="AH37" s="22"/>
      <c r="AI37" s="22"/>
      <c r="AJ37" s="22"/>
      <c r="AK37" s="22"/>
      <c r="AL37" s="22"/>
      <c r="AM37" s="22"/>
      <c r="AN37" s="22"/>
      <c r="AO37" s="22"/>
      <c r="AP37" s="22"/>
      <c r="AQ37" s="22"/>
      <c r="AR37" s="22"/>
      <c r="AS37" s="22"/>
      <c r="AT37" s="22"/>
      <c r="AU37" s="22"/>
      <c r="AV37" s="22"/>
      <c r="AW37" s="22"/>
      <c r="AX37" s="22"/>
      <c r="AY37" s="22"/>
      <c r="AZ37" s="22"/>
      <c r="BA37" s="22"/>
      <c r="BB37" s="22"/>
      <c r="BC37" s="22"/>
      <c r="BD37" s="22"/>
      <c r="BE37" s="22"/>
      <c r="BF37" s="22"/>
      <c r="BG37" s="22"/>
      <c r="BH37" s="22"/>
      <c r="BI37" s="22"/>
      <c r="BJ37" s="22"/>
      <c r="BK37" s="22"/>
      <c r="BL37" s="22"/>
      <c r="BM37" s="22"/>
      <c r="BN37" s="22"/>
      <c r="BO37" s="22"/>
      <c r="BP37" s="22"/>
      <c r="BQ37" s="22"/>
      <c r="BR37" s="22"/>
      <c r="BS37" s="22"/>
      <c r="BT37" s="22"/>
    </row>
    <row r="38" spans="1:72" s="23" customFormat="1" ht="27.95" customHeight="1" outlineLevel="1" x14ac:dyDescent="0.25">
      <c r="A38" s="452" t="s">
        <v>257</v>
      </c>
      <c r="B38" s="453">
        <v>4100006709</v>
      </c>
      <c r="C38" s="465" t="s">
        <v>34</v>
      </c>
      <c r="D38" s="455"/>
      <c r="E38" s="466" t="s">
        <v>25</v>
      </c>
      <c r="F38" s="466">
        <v>1.24</v>
      </c>
      <c r="G38" s="457">
        <f>(G37+20.9)*F38</f>
        <v>243.66</v>
      </c>
      <c r="H38" s="458"/>
      <c r="I38" s="459"/>
      <c r="J38" s="460"/>
      <c r="K38" s="461"/>
      <c r="L38" s="459"/>
      <c r="M38" s="460"/>
      <c r="N38" s="469" t="s">
        <v>35</v>
      </c>
      <c r="O38" s="233"/>
      <c r="P38" s="233"/>
      <c r="Q38" s="232"/>
      <c r="R38" s="232"/>
      <c r="S38" s="232"/>
      <c r="T38" s="232"/>
      <c r="U38" s="232"/>
      <c r="V38" s="232"/>
      <c r="W38" s="232"/>
      <c r="X38" s="232"/>
      <c r="Y38" s="232"/>
      <c r="Z38" s="232"/>
      <c r="AA38" s="22"/>
      <c r="AB38" s="22"/>
      <c r="AC38" s="22"/>
      <c r="AD38" s="22"/>
      <c r="AE38" s="22"/>
      <c r="AF38" s="22"/>
      <c r="AG38" s="22"/>
      <c r="AH38" s="22"/>
      <c r="AI38" s="22"/>
      <c r="AJ38" s="22"/>
      <c r="AK38" s="22"/>
      <c r="AL38" s="22"/>
      <c r="AM38" s="22"/>
      <c r="AN38" s="22"/>
      <c r="AO38" s="22"/>
      <c r="AP38" s="22"/>
      <c r="AQ38" s="22"/>
      <c r="AR38" s="22"/>
      <c r="AS38" s="22"/>
      <c r="AT38" s="22"/>
      <c r="AU38" s="22"/>
      <c r="AV38" s="22"/>
      <c r="AW38" s="22"/>
      <c r="AX38" s="22"/>
      <c r="AY38" s="22"/>
      <c r="AZ38" s="22"/>
      <c r="BA38" s="22"/>
      <c r="BB38" s="22"/>
      <c r="BC38" s="22"/>
      <c r="BD38" s="22"/>
      <c r="BE38" s="22"/>
      <c r="BF38" s="22"/>
      <c r="BG38" s="22"/>
      <c r="BH38" s="22"/>
      <c r="BI38" s="22"/>
      <c r="BJ38" s="22"/>
      <c r="BK38" s="22"/>
      <c r="BL38" s="22"/>
      <c r="BM38" s="22"/>
      <c r="BN38" s="22"/>
      <c r="BO38" s="22"/>
      <c r="BP38" s="22"/>
      <c r="BQ38" s="22"/>
      <c r="BR38" s="22"/>
      <c r="BS38" s="22"/>
      <c r="BT38" s="22"/>
    </row>
    <row r="39" spans="1:72" s="23" customFormat="1" ht="39.950000000000003" customHeight="1" outlineLevel="1" x14ac:dyDescent="0.25">
      <c r="A39" s="441" t="s">
        <v>258</v>
      </c>
      <c r="B39" s="442"/>
      <c r="C39" s="463" t="s">
        <v>159</v>
      </c>
      <c r="D39" s="470">
        <v>0.4</v>
      </c>
      <c r="E39" s="442" t="s">
        <v>25</v>
      </c>
      <c r="F39" s="444"/>
      <c r="G39" s="445">
        <f>G30*D39</f>
        <v>175.6</v>
      </c>
      <c r="H39" s="446">
        <f>H40*$G40/$G39</f>
        <v>0</v>
      </c>
      <c r="I39" s="447"/>
      <c r="J39" s="448">
        <f>H39+I39</f>
        <v>0</v>
      </c>
      <c r="K39" s="449">
        <f>G39*H39</f>
        <v>0</v>
      </c>
      <c r="L39" s="450">
        <f>G39*I39</f>
        <v>0</v>
      </c>
      <c r="M39" s="448">
        <f>L39+K39</f>
        <v>0</v>
      </c>
      <c r="N39" s="451"/>
      <c r="O39" s="21"/>
      <c r="P39" s="21"/>
      <c r="Q39" s="22"/>
      <c r="R39" s="22"/>
      <c r="S39" s="22"/>
      <c r="T39" s="22"/>
      <c r="U39" s="22"/>
      <c r="V39" s="22"/>
      <c r="W39" s="22"/>
      <c r="X39" s="22"/>
      <c r="Y39" s="22"/>
      <c r="Z39" s="22"/>
      <c r="AA39" s="22"/>
      <c r="AB39" s="22"/>
      <c r="AC39" s="22"/>
      <c r="AD39" s="22"/>
      <c r="AE39" s="22"/>
      <c r="AF39" s="22"/>
      <c r="AG39" s="22"/>
      <c r="AH39" s="22"/>
      <c r="AI39" s="22"/>
      <c r="AJ39" s="22"/>
      <c r="AK39" s="22"/>
      <c r="AL39" s="22"/>
      <c r="AM39" s="22"/>
      <c r="AN39" s="22"/>
      <c r="AO39" s="22"/>
      <c r="AP39" s="22"/>
      <c r="AQ39" s="22"/>
      <c r="AR39" s="22"/>
      <c r="AS39" s="22"/>
      <c r="AT39" s="22"/>
      <c r="AU39" s="22"/>
      <c r="AV39" s="22"/>
      <c r="AW39" s="22"/>
      <c r="AX39" s="22"/>
      <c r="AY39" s="22"/>
      <c r="AZ39" s="22"/>
      <c r="BA39" s="22"/>
      <c r="BB39" s="22"/>
      <c r="BC39" s="22"/>
      <c r="BD39" s="22"/>
      <c r="BE39" s="22"/>
      <c r="BF39" s="22"/>
      <c r="BG39" s="22"/>
      <c r="BH39" s="22"/>
      <c r="BI39" s="22"/>
      <c r="BJ39" s="22"/>
      <c r="BK39" s="22"/>
      <c r="BL39" s="22"/>
      <c r="BM39" s="22"/>
      <c r="BN39" s="22"/>
      <c r="BO39" s="22"/>
      <c r="BP39" s="22"/>
      <c r="BQ39" s="22"/>
      <c r="BR39" s="22"/>
      <c r="BS39" s="22"/>
      <c r="BT39" s="22"/>
    </row>
    <row r="40" spans="1:72" s="23" customFormat="1" ht="27.95" customHeight="1" outlineLevel="1" x14ac:dyDescent="0.25">
      <c r="A40" s="452" t="s">
        <v>259</v>
      </c>
      <c r="B40" s="453">
        <v>4100008584</v>
      </c>
      <c r="C40" s="465" t="s">
        <v>28</v>
      </c>
      <c r="D40" s="455"/>
      <c r="E40" s="466" t="s">
        <v>25</v>
      </c>
      <c r="F40" s="466">
        <v>1.1000000000000001</v>
      </c>
      <c r="G40" s="457">
        <f>(G39+41.8)*F40</f>
        <v>239.14</v>
      </c>
      <c r="H40" s="458"/>
      <c r="I40" s="459"/>
      <c r="J40" s="460"/>
      <c r="K40" s="461"/>
      <c r="L40" s="459"/>
      <c r="M40" s="460"/>
      <c r="N40" s="462" t="s">
        <v>36</v>
      </c>
      <c r="O40" s="21"/>
      <c r="P40" s="21"/>
      <c r="Q40" s="22"/>
      <c r="R40" s="22"/>
      <c r="S40" s="22"/>
      <c r="T40" s="22"/>
      <c r="U40" s="22"/>
      <c r="V40" s="22"/>
      <c r="W40" s="22"/>
      <c r="X40" s="22"/>
      <c r="Y40" s="22"/>
      <c r="Z40" s="22"/>
      <c r="AA40" s="22"/>
      <c r="AB40" s="22"/>
      <c r="AC40" s="22"/>
      <c r="AD40" s="22"/>
      <c r="AE40" s="22"/>
      <c r="AF40" s="22"/>
      <c r="AG40" s="22"/>
      <c r="AH40" s="22"/>
      <c r="AI40" s="22"/>
      <c r="AJ40" s="22"/>
      <c r="AK40" s="22"/>
      <c r="AL40" s="22"/>
      <c r="AM40" s="22"/>
      <c r="AN40" s="22"/>
      <c r="AO40" s="22"/>
      <c r="AP40" s="22"/>
      <c r="AQ40" s="22"/>
      <c r="AR40" s="22"/>
      <c r="AS40" s="22"/>
      <c r="AT40" s="22"/>
      <c r="AU40" s="22"/>
      <c r="AV40" s="22"/>
      <c r="AW40" s="22"/>
      <c r="AX40" s="22"/>
      <c r="AY40" s="22"/>
      <c r="AZ40" s="22"/>
      <c r="BA40" s="22"/>
      <c r="BB40" s="22"/>
      <c r="BC40" s="22"/>
      <c r="BD40" s="22"/>
      <c r="BE40" s="22"/>
      <c r="BF40" s="22"/>
      <c r="BG40" s="22"/>
      <c r="BH40" s="22"/>
      <c r="BI40" s="22"/>
      <c r="BJ40" s="22"/>
      <c r="BK40" s="22"/>
      <c r="BL40" s="22"/>
      <c r="BM40" s="22"/>
      <c r="BN40" s="22"/>
      <c r="BO40" s="22"/>
      <c r="BP40" s="22"/>
      <c r="BQ40" s="22"/>
      <c r="BR40" s="22"/>
      <c r="BS40" s="22"/>
      <c r="BT40" s="22"/>
    </row>
    <row r="41" spans="1:72" s="23" customFormat="1" ht="27.95" customHeight="1" outlineLevel="1" x14ac:dyDescent="0.25">
      <c r="A41" s="441" t="s">
        <v>260</v>
      </c>
      <c r="B41" s="442"/>
      <c r="C41" s="471" t="s">
        <v>37</v>
      </c>
      <c r="D41" s="442"/>
      <c r="E41" s="442" t="s">
        <v>27</v>
      </c>
      <c r="F41" s="444"/>
      <c r="G41" s="445">
        <f>G30</f>
        <v>439</v>
      </c>
      <c r="H41" s="446">
        <f>H42*$G42/$G41</f>
        <v>0</v>
      </c>
      <c r="I41" s="447"/>
      <c r="J41" s="448">
        <f>H41+I41</f>
        <v>0</v>
      </c>
      <c r="K41" s="449">
        <f>G41*H41</f>
        <v>0</v>
      </c>
      <c r="L41" s="450">
        <f>G41*I41</f>
        <v>0</v>
      </c>
      <c r="M41" s="448">
        <f>L41+K41</f>
        <v>0</v>
      </c>
      <c r="N41" s="462"/>
      <c r="O41" s="25"/>
      <c r="P41" s="21"/>
      <c r="Q41" s="22"/>
      <c r="R41" s="22"/>
      <c r="S41" s="22"/>
      <c r="T41" s="22"/>
      <c r="U41" s="22"/>
      <c r="V41" s="22"/>
      <c r="W41" s="22"/>
      <c r="X41" s="22"/>
      <c r="Y41" s="22"/>
      <c r="Z41" s="22"/>
      <c r="AA41" s="22"/>
      <c r="AB41" s="22"/>
      <c r="AC41" s="22"/>
      <c r="AD41" s="22"/>
      <c r="AE41" s="22"/>
      <c r="AF41" s="22"/>
      <c r="AG41" s="22"/>
      <c r="AH41" s="22"/>
      <c r="AI41" s="22"/>
      <c r="AJ41" s="22"/>
      <c r="AK41" s="22"/>
      <c r="AL41" s="22"/>
      <c r="AM41" s="22"/>
      <c r="AN41" s="22"/>
      <c r="AO41" s="22"/>
      <c r="AP41" s="22"/>
      <c r="AQ41" s="22"/>
      <c r="AR41" s="22"/>
      <c r="AS41" s="22"/>
      <c r="AT41" s="22"/>
      <c r="AU41" s="22"/>
      <c r="AV41" s="22"/>
      <c r="AW41" s="22"/>
      <c r="AX41" s="22"/>
      <c r="AY41" s="22"/>
      <c r="AZ41" s="22"/>
      <c r="BA41" s="22"/>
      <c r="BB41" s="22"/>
      <c r="BC41" s="22"/>
      <c r="BD41" s="22"/>
      <c r="BE41" s="22"/>
      <c r="BF41" s="22"/>
      <c r="BG41" s="22"/>
      <c r="BH41" s="22"/>
      <c r="BI41" s="22"/>
      <c r="BJ41" s="22"/>
      <c r="BK41" s="22"/>
      <c r="BL41" s="22"/>
      <c r="BM41" s="22"/>
      <c r="BN41" s="22"/>
      <c r="BO41" s="22"/>
      <c r="BP41" s="22"/>
      <c r="BQ41" s="22"/>
      <c r="BR41" s="22"/>
      <c r="BS41" s="22"/>
      <c r="BT41" s="22"/>
    </row>
    <row r="42" spans="1:72" s="23" customFormat="1" ht="27.95" customHeight="1" outlineLevel="1" x14ac:dyDescent="0.25">
      <c r="A42" s="452" t="s">
        <v>261</v>
      </c>
      <c r="B42" s="472">
        <v>4100009584</v>
      </c>
      <c r="C42" s="454" t="s">
        <v>249</v>
      </c>
      <c r="D42" s="455"/>
      <c r="E42" s="466" t="s">
        <v>27</v>
      </c>
      <c r="F42" s="466">
        <v>1.1000000000000001</v>
      </c>
      <c r="G42" s="457">
        <f>(G41)*F42</f>
        <v>482.9</v>
      </c>
      <c r="H42" s="473"/>
      <c r="I42" s="474"/>
      <c r="J42" s="475"/>
      <c r="K42" s="476"/>
      <c r="L42" s="474"/>
      <c r="M42" s="475"/>
      <c r="N42" s="477" t="s">
        <v>36</v>
      </c>
      <c r="O42" s="233"/>
      <c r="P42" s="25"/>
      <c r="Q42" s="22"/>
      <c r="R42" s="22"/>
      <c r="S42" s="22"/>
      <c r="T42" s="22"/>
      <c r="U42" s="22"/>
      <c r="V42" s="22"/>
      <c r="W42" s="22"/>
      <c r="X42" s="22"/>
      <c r="Y42" s="22"/>
      <c r="Z42" s="22"/>
      <c r="AA42" s="22"/>
      <c r="AB42" s="22"/>
      <c r="AC42" s="22"/>
      <c r="AD42" s="22"/>
      <c r="AE42" s="22"/>
      <c r="AF42" s="22"/>
      <c r="AG42" s="22"/>
      <c r="AH42" s="22"/>
      <c r="AI42" s="22"/>
      <c r="AJ42" s="22"/>
      <c r="AK42" s="22"/>
      <c r="AL42" s="22"/>
      <c r="AM42" s="22"/>
      <c r="AN42" s="22"/>
      <c r="AO42" s="22"/>
      <c r="AP42" s="22"/>
      <c r="AQ42" s="22"/>
      <c r="AR42" s="22"/>
      <c r="AS42" s="22"/>
      <c r="AT42" s="22"/>
      <c r="AU42" s="22"/>
      <c r="AV42" s="22"/>
      <c r="AW42" s="22"/>
      <c r="AX42" s="22"/>
      <c r="AY42" s="22"/>
      <c r="AZ42" s="22"/>
      <c r="BA42" s="22"/>
      <c r="BB42" s="22"/>
      <c r="BC42" s="22"/>
      <c r="BD42" s="22"/>
      <c r="BE42" s="22"/>
      <c r="BF42" s="22"/>
      <c r="BG42" s="22"/>
      <c r="BH42" s="22"/>
      <c r="BI42" s="22"/>
      <c r="BJ42" s="22"/>
      <c r="BK42" s="22"/>
      <c r="BL42" s="22"/>
      <c r="BM42" s="22"/>
      <c r="BN42" s="22"/>
      <c r="BO42" s="22"/>
      <c r="BP42" s="22"/>
      <c r="BQ42" s="22"/>
      <c r="BR42" s="22"/>
      <c r="BS42" s="22"/>
      <c r="BT42" s="22"/>
    </row>
    <row r="43" spans="1:72" s="23" customFormat="1" ht="39.950000000000003" customHeight="1" outlineLevel="1" x14ac:dyDescent="0.25">
      <c r="A43" s="441" t="s">
        <v>262</v>
      </c>
      <c r="B43" s="442"/>
      <c r="C43" s="463" t="s">
        <v>173</v>
      </c>
      <c r="D43" s="470">
        <v>0.57999999999999996</v>
      </c>
      <c r="E43" s="442" t="s">
        <v>25</v>
      </c>
      <c r="F43" s="444"/>
      <c r="G43" s="445">
        <f>G30*D43</f>
        <v>254.62</v>
      </c>
      <c r="H43" s="446">
        <f>H44*$G44/$G43</f>
        <v>0</v>
      </c>
      <c r="I43" s="447"/>
      <c r="J43" s="448">
        <f>H43+I43</f>
        <v>0</v>
      </c>
      <c r="K43" s="449">
        <f>G43*H43</f>
        <v>0</v>
      </c>
      <c r="L43" s="450">
        <f>G43*I43</f>
        <v>0</v>
      </c>
      <c r="M43" s="448">
        <f>L43+K43</f>
        <v>0</v>
      </c>
      <c r="N43" s="462"/>
      <c r="O43" s="25"/>
      <c r="P43" s="21"/>
      <c r="Q43" s="22"/>
      <c r="R43" s="22"/>
      <c r="S43" s="22"/>
      <c r="T43" s="22"/>
      <c r="U43" s="22"/>
      <c r="V43" s="22"/>
      <c r="W43" s="22"/>
      <c r="X43" s="22"/>
      <c r="Y43" s="22"/>
      <c r="Z43" s="22"/>
      <c r="AA43" s="22"/>
      <c r="AB43" s="22"/>
      <c r="AC43" s="22"/>
      <c r="AD43" s="22"/>
      <c r="AE43" s="22"/>
      <c r="AF43" s="22"/>
      <c r="AG43" s="22"/>
      <c r="AH43" s="22"/>
      <c r="AI43" s="22"/>
      <c r="AJ43" s="22"/>
      <c r="AK43" s="22"/>
      <c r="AL43" s="22"/>
      <c r="AM43" s="22"/>
      <c r="AN43" s="22"/>
      <c r="AO43" s="22"/>
      <c r="AP43" s="22"/>
      <c r="AQ43" s="22"/>
      <c r="AR43" s="22"/>
      <c r="AS43" s="22"/>
      <c r="AT43" s="22"/>
      <c r="AU43" s="22"/>
      <c r="AV43" s="22"/>
      <c r="AW43" s="22"/>
      <c r="AX43" s="22"/>
      <c r="AY43" s="22"/>
      <c r="AZ43" s="22"/>
      <c r="BA43" s="22"/>
      <c r="BB43" s="22"/>
      <c r="BC43" s="22"/>
      <c r="BD43" s="22"/>
      <c r="BE43" s="22"/>
      <c r="BF43" s="22"/>
      <c r="BG43" s="22"/>
      <c r="BH43" s="22"/>
      <c r="BI43" s="22"/>
      <c r="BJ43" s="22"/>
      <c r="BK43" s="22"/>
      <c r="BL43" s="22"/>
      <c r="BM43" s="22"/>
      <c r="BN43" s="22"/>
      <c r="BO43" s="22"/>
      <c r="BP43" s="22"/>
      <c r="BQ43" s="22"/>
      <c r="BR43" s="22"/>
      <c r="BS43" s="22"/>
      <c r="BT43" s="22"/>
    </row>
    <row r="44" spans="1:72" s="23" customFormat="1" ht="27.95" customHeight="1" outlineLevel="1" x14ac:dyDescent="0.25">
      <c r="A44" s="452" t="s">
        <v>263</v>
      </c>
      <c r="B44" s="453">
        <v>4100008584</v>
      </c>
      <c r="C44" s="465" t="s">
        <v>28</v>
      </c>
      <c r="D44" s="455"/>
      <c r="E44" s="466" t="s">
        <v>25</v>
      </c>
      <c r="F44" s="466">
        <v>1.1000000000000001</v>
      </c>
      <c r="G44" s="457">
        <f>(G43+60.62)*F44</f>
        <v>346.76</v>
      </c>
      <c r="H44" s="458"/>
      <c r="I44" s="459"/>
      <c r="J44" s="460"/>
      <c r="K44" s="461"/>
      <c r="L44" s="459"/>
      <c r="M44" s="460"/>
      <c r="N44" s="462" t="s">
        <v>29</v>
      </c>
      <c r="O44" s="25"/>
      <c r="P44" s="21"/>
      <c r="Q44" s="22"/>
      <c r="R44" s="22"/>
      <c r="S44" s="22"/>
      <c r="T44" s="22"/>
      <c r="U44" s="22"/>
      <c r="V44" s="22"/>
      <c r="W44" s="22"/>
      <c r="X44" s="22"/>
      <c r="Y44" s="22"/>
      <c r="Z44" s="22"/>
      <c r="AA44" s="22"/>
      <c r="AB44" s="22"/>
      <c r="AC44" s="22"/>
      <c r="AD44" s="22"/>
      <c r="AE44" s="22"/>
      <c r="AF44" s="22"/>
      <c r="AG44" s="22"/>
      <c r="AH44" s="22"/>
      <c r="AI44" s="22"/>
      <c r="AJ44" s="22"/>
      <c r="AK44" s="22"/>
      <c r="AL44" s="22"/>
      <c r="AM44" s="22"/>
      <c r="AN44" s="22"/>
      <c r="AO44" s="22"/>
      <c r="AP44" s="22"/>
      <c r="AQ44" s="22"/>
      <c r="AR44" s="22"/>
      <c r="AS44" s="22"/>
      <c r="AT44" s="22"/>
      <c r="AU44" s="22"/>
      <c r="AV44" s="22"/>
      <c r="AW44" s="22"/>
      <c r="AX44" s="22"/>
      <c r="AY44" s="22"/>
      <c r="AZ44" s="22"/>
      <c r="BA44" s="22"/>
      <c r="BB44" s="22"/>
      <c r="BC44" s="22"/>
      <c r="BD44" s="22"/>
      <c r="BE44" s="22"/>
      <c r="BF44" s="22"/>
      <c r="BG44" s="22"/>
      <c r="BH44" s="22"/>
      <c r="BI44" s="22"/>
      <c r="BJ44" s="22"/>
      <c r="BK44" s="22"/>
      <c r="BL44" s="22"/>
      <c r="BM44" s="22"/>
      <c r="BN44" s="22"/>
      <c r="BO44" s="22"/>
      <c r="BP44" s="22"/>
      <c r="BQ44" s="22"/>
      <c r="BR44" s="22"/>
      <c r="BS44" s="22"/>
      <c r="BT44" s="22"/>
    </row>
    <row r="45" spans="1:72" s="23" customFormat="1" ht="27" customHeight="1" x14ac:dyDescent="0.25">
      <c r="A45" s="278" t="s">
        <v>176</v>
      </c>
      <c r="B45" s="257"/>
      <c r="C45" s="258" t="s">
        <v>154</v>
      </c>
      <c r="D45" s="259">
        <f>SUM(D46:D62)</f>
        <v>1.45</v>
      </c>
      <c r="E45" s="259" t="s">
        <v>27</v>
      </c>
      <c r="F45" s="259"/>
      <c r="G45" s="314">
        <v>129</v>
      </c>
      <c r="H45" s="260"/>
      <c r="I45" s="261"/>
      <c r="J45" s="262"/>
      <c r="K45" s="263">
        <f>SUM(K46:K62)</f>
        <v>0</v>
      </c>
      <c r="L45" s="264">
        <f>SUM(L46:L62)</f>
        <v>0</v>
      </c>
      <c r="M45" s="265">
        <f>L45+K45</f>
        <v>0</v>
      </c>
      <c r="N45" s="315"/>
      <c r="O45" s="24"/>
      <c r="P45" s="24"/>
      <c r="Q45" s="22"/>
      <c r="R45" s="22"/>
      <c r="S45" s="22"/>
      <c r="T45" s="22"/>
      <c r="U45" s="22"/>
      <c r="V45" s="22"/>
      <c r="W45" s="22"/>
      <c r="X45" s="22"/>
      <c r="Y45" s="22"/>
      <c r="Z45" s="22"/>
      <c r="AA45" s="22"/>
      <c r="AB45" s="22"/>
      <c r="AC45" s="22"/>
      <c r="AD45" s="22"/>
      <c r="AE45" s="22"/>
      <c r="AF45" s="22"/>
      <c r="AG45" s="22"/>
      <c r="AH45" s="22"/>
      <c r="AI45" s="22"/>
      <c r="AJ45" s="22"/>
      <c r="AK45" s="22"/>
      <c r="AL45" s="22"/>
      <c r="AM45" s="22"/>
      <c r="AN45" s="22"/>
      <c r="AO45" s="22"/>
      <c r="AP45" s="22"/>
      <c r="AQ45" s="22"/>
      <c r="AR45" s="22"/>
      <c r="AS45" s="22"/>
      <c r="AT45" s="22"/>
      <c r="AU45" s="22"/>
      <c r="AV45" s="22"/>
      <c r="AW45" s="22"/>
      <c r="AX45" s="22"/>
      <c r="AY45" s="22"/>
      <c r="AZ45" s="22"/>
      <c r="BA45" s="22"/>
      <c r="BB45" s="22"/>
      <c r="BC45" s="22"/>
      <c r="BD45" s="22"/>
      <c r="BE45" s="22"/>
      <c r="BF45" s="22"/>
      <c r="BG45" s="22"/>
      <c r="BH45" s="22"/>
      <c r="BI45" s="22"/>
      <c r="BJ45" s="22"/>
      <c r="BK45" s="22"/>
      <c r="BL45" s="22"/>
      <c r="BM45" s="22"/>
      <c r="BN45" s="22"/>
      <c r="BO45" s="22"/>
      <c r="BP45" s="22"/>
      <c r="BQ45" s="22"/>
      <c r="BR45" s="22"/>
      <c r="BS45" s="22"/>
      <c r="BT45" s="22"/>
    </row>
    <row r="46" spans="1:72" s="23" customFormat="1" ht="54.75" customHeight="1" outlineLevel="1" x14ac:dyDescent="0.25">
      <c r="A46" s="333" t="s">
        <v>264</v>
      </c>
      <c r="B46" s="313"/>
      <c r="C46" s="420" t="s">
        <v>193</v>
      </c>
      <c r="D46" s="313">
        <v>0.05</v>
      </c>
      <c r="E46" s="313" t="s">
        <v>27</v>
      </c>
      <c r="F46" s="319"/>
      <c r="G46" s="123">
        <f>G45</f>
        <v>129</v>
      </c>
      <c r="H46" s="124">
        <f>H47*$G47/$G46</f>
        <v>0</v>
      </c>
      <c r="I46" s="134"/>
      <c r="J46" s="128">
        <f>H46+I46</f>
        <v>0</v>
      </c>
      <c r="K46" s="129">
        <f>G46*H46</f>
        <v>0</v>
      </c>
      <c r="L46" s="130">
        <f>G46*I46</f>
        <v>0</v>
      </c>
      <c r="M46" s="128">
        <f>L46+K46</f>
        <v>0</v>
      </c>
      <c r="N46" s="135"/>
      <c r="O46" s="25"/>
      <c r="P46" s="21"/>
      <c r="Q46" s="22"/>
      <c r="R46" s="22"/>
      <c r="S46" s="22"/>
      <c r="T46" s="22"/>
      <c r="U46" s="22"/>
      <c r="V46" s="22"/>
      <c r="W46" s="22"/>
      <c r="X46" s="22"/>
      <c r="Y46" s="22"/>
      <c r="Z46" s="22"/>
      <c r="AA46" s="22"/>
      <c r="AB46" s="22"/>
      <c r="AC46" s="22"/>
      <c r="AD46" s="22"/>
      <c r="AE46" s="22"/>
      <c r="AF46" s="22"/>
      <c r="AG46" s="22"/>
      <c r="AH46" s="22"/>
      <c r="AI46" s="22"/>
      <c r="AJ46" s="22"/>
      <c r="AK46" s="22"/>
      <c r="AL46" s="22"/>
      <c r="AM46" s="22"/>
      <c r="AN46" s="22"/>
      <c r="AO46" s="22"/>
      <c r="AP46" s="22"/>
      <c r="AQ46" s="22"/>
      <c r="AR46" s="22"/>
      <c r="AS46" s="22"/>
      <c r="AT46" s="22"/>
      <c r="AU46" s="22"/>
      <c r="AV46" s="22"/>
      <c r="AW46" s="22"/>
      <c r="AX46" s="22"/>
      <c r="AY46" s="22"/>
      <c r="AZ46" s="22"/>
      <c r="BA46" s="22"/>
      <c r="BB46" s="22"/>
      <c r="BC46" s="22"/>
      <c r="BD46" s="22"/>
      <c r="BE46" s="22"/>
      <c r="BF46" s="22"/>
      <c r="BG46" s="22"/>
      <c r="BH46" s="22"/>
      <c r="BI46" s="22"/>
      <c r="BJ46" s="22"/>
      <c r="BK46" s="22"/>
      <c r="BL46" s="22"/>
      <c r="BM46" s="22"/>
      <c r="BN46" s="22"/>
      <c r="BO46" s="22"/>
      <c r="BP46" s="22"/>
      <c r="BQ46" s="22"/>
      <c r="BR46" s="22"/>
      <c r="BS46" s="22"/>
      <c r="BT46" s="22"/>
    </row>
    <row r="47" spans="1:72" s="23" customFormat="1" ht="42.75" customHeight="1" outlineLevel="1" x14ac:dyDescent="0.25">
      <c r="A47" s="334" t="s">
        <v>267</v>
      </c>
      <c r="B47" s="321"/>
      <c r="C47" s="316" t="s">
        <v>194</v>
      </c>
      <c r="D47" s="317"/>
      <c r="E47" s="318" t="s">
        <v>33</v>
      </c>
      <c r="F47" s="320">
        <v>0.1217</v>
      </c>
      <c r="G47" s="125">
        <f>G46*F47</f>
        <v>15.7</v>
      </c>
      <c r="H47" s="126"/>
      <c r="I47" s="133"/>
      <c r="J47" s="131"/>
      <c r="K47" s="132"/>
      <c r="L47" s="133"/>
      <c r="M47" s="131"/>
      <c r="N47" s="127"/>
      <c r="O47" s="25"/>
      <c r="P47" s="21"/>
      <c r="Q47" s="22"/>
      <c r="R47" s="22"/>
      <c r="S47" s="22"/>
      <c r="T47" s="22"/>
      <c r="U47" s="22"/>
      <c r="V47" s="22"/>
      <c r="W47" s="22"/>
      <c r="X47" s="22"/>
      <c r="Y47" s="22"/>
      <c r="Z47" s="22"/>
      <c r="AA47" s="22"/>
      <c r="AB47" s="22"/>
      <c r="AC47" s="22"/>
      <c r="AD47" s="22"/>
      <c r="AE47" s="22"/>
      <c r="AF47" s="22"/>
      <c r="AG47" s="22"/>
      <c r="AH47" s="22"/>
      <c r="AI47" s="22"/>
      <c r="AJ47" s="22"/>
      <c r="AK47" s="22"/>
      <c r="AL47" s="22"/>
      <c r="AM47" s="22"/>
      <c r="AN47" s="22"/>
      <c r="AO47" s="22"/>
      <c r="AP47" s="22"/>
      <c r="AQ47" s="22"/>
      <c r="AR47" s="22"/>
      <c r="AS47" s="22"/>
      <c r="AT47" s="22"/>
      <c r="AU47" s="22"/>
      <c r="AV47" s="22"/>
      <c r="AW47" s="22"/>
      <c r="AX47" s="22"/>
      <c r="AY47" s="22"/>
      <c r="AZ47" s="22"/>
      <c r="BA47" s="22"/>
      <c r="BB47" s="22"/>
      <c r="BC47" s="22"/>
      <c r="BD47" s="22"/>
      <c r="BE47" s="22"/>
      <c r="BF47" s="22"/>
      <c r="BG47" s="22"/>
      <c r="BH47" s="22"/>
      <c r="BI47" s="22"/>
      <c r="BJ47" s="22"/>
      <c r="BK47" s="22"/>
      <c r="BL47" s="22"/>
      <c r="BM47" s="22"/>
      <c r="BN47" s="22"/>
      <c r="BO47" s="22"/>
      <c r="BP47" s="22"/>
      <c r="BQ47" s="22"/>
      <c r="BR47" s="22"/>
      <c r="BS47" s="22"/>
      <c r="BT47" s="22"/>
    </row>
    <row r="48" spans="1:72" s="23" customFormat="1" ht="24.75" customHeight="1" outlineLevel="1" x14ac:dyDescent="0.25">
      <c r="A48" s="333" t="s">
        <v>268</v>
      </c>
      <c r="B48" s="313"/>
      <c r="C48" s="312" t="s">
        <v>180</v>
      </c>
      <c r="D48" s="313"/>
      <c r="E48" s="313" t="s">
        <v>27</v>
      </c>
      <c r="F48" s="319"/>
      <c r="G48" s="123">
        <v>111.11</v>
      </c>
      <c r="H48" s="124">
        <f>H49*$G49/$G48</f>
        <v>0</v>
      </c>
      <c r="I48" s="134"/>
      <c r="J48" s="128">
        <f>H48+I48</f>
        <v>0</v>
      </c>
      <c r="K48" s="129">
        <f>G48*H48</f>
        <v>0</v>
      </c>
      <c r="L48" s="130">
        <f>G48*I48</f>
        <v>0</v>
      </c>
      <c r="M48" s="128">
        <f>L48+K48</f>
        <v>0</v>
      </c>
      <c r="N48" s="127"/>
      <c r="O48" s="25"/>
      <c r="P48" s="21"/>
      <c r="Q48" s="22"/>
      <c r="R48" s="22"/>
      <c r="S48" s="22"/>
      <c r="T48" s="22"/>
      <c r="U48" s="22"/>
      <c r="V48" s="22"/>
      <c r="W48" s="22"/>
      <c r="X48" s="22"/>
      <c r="Y48" s="22"/>
      <c r="Z48" s="22"/>
      <c r="AA48" s="22"/>
      <c r="AB48" s="22"/>
      <c r="AC48" s="22"/>
      <c r="AD48" s="22"/>
      <c r="AE48" s="22"/>
      <c r="AF48" s="22"/>
      <c r="AG48" s="22"/>
      <c r="AH48" s="22"/>
      <c r="AI48" s="22"/>
      <c r="AJ48" s="22"/>
      <c r="AK48" s="22"/>
      <c r="AL48" s="22"/>
      <c r="AM48" s="22"/>
      <c r="AN48" s="22"/>
      <c r="AO48" s="22"/>
      <c r="AP48" s="22"/>
      <c r="AQ48" s="22"/>
      <c r="AR48" s="22"/>
      <c r="AS48" s="22"/>
      <c r="AT48" s="22"/>
      <c r="AU48" s="22"/>
      <c r="AV48" s="22"/>
      <c r="AW48" s="22"/>
      <c r="AX48" s="22"/>
      <c r="AY48" s="22"/>
      <c r="AZ48" s="22"/>
      <c r="BA48" s="22"/>
      <c r="BB48" s="22"/>
      <c r="BC48" s="22"/>
      <c r="BD48" s="22"/>
      <c r="BE48" s="22"/>
      <c r="BF48" s="22"/>
      <c r="BG48" s="22"/>
      <c r="BH48" s="22"/>
      <c r="BI48" s="22"/>
      <c r="BJ48" s="22"/>
      <c r="BK48" s="22"/>
      <c r="BL48" s="22"/>
      <c r="BM48" s="22"/>
      <c r="BN48" s="22"/>
      <c r="BO48" s="22"/>
      <c r="BP48" s="22"/>
      <c r="BQ48" s="22"/>
      <c r="BR48" s="22"/>
      <c r="BS48" s="22"/>
      <c r="BT48" s="22"/>
    </row>
    <row r="49" spans="1:72" s="23" customFormat="1" ht="25.5" customHeight="1" outlineLevel="1" x14ac:dyDescent="0.25">
      <c r="A49" s="334" t="s">
        <v>270</v>
      </c>
      <c r="B49" s="321"/>
      <c r="C49" s="324" t="s">
        <v>181</v>
      </c>
      <c r="D49" s="317"/>
      <c r="E49" s="317" t="s">
        <v>27</v>
      </c>
      <c r="F49" s="418">
        <v>1.1000000000000001</v>
      </c>
      <c r="G49" s="125">
        <f>F49*G48</f>
        <v>122.22</v>
      </c>
      <c r="H49" s="126"/>
      <c r="I49" s="133"/>
      <c r="J49" s="131"/>
      <c r="K49" s="132"/>
      <c r="L49" s="133"/>
      <c r="M49" s="131"/>
      <c r="N49" s="127"/>
      <c r="O49" s="25"/>
      <c r="P49" s="21"/>
      <c r="Q49" s="22"/>
      <c r="R49" s="22"/>
      <c r="S49" s="22"/>
      <c r="T49" s="22"/>
      <c r="U49" s="22"/>
      <c r="V49" s="22"/>
      <c r="W49" s="22"/>
      <c r="X49" s="22"/>
      <c r="Y49" s="22"/>
      <c r="Z49" s="22"/>
      <c r="AA49" s="22"/>
      <c r="AB49" s="22"/>
      <c r="AC49" s="22"/>
      <c r="AD49" s="22"/>
      <c r="AE49" s="22"/>
      <c r="AF49" s="22"/>
      <c r="AG49" s="22"/>
      <c r="AH49" s="22"/>
      <c r="AI49" s="22"/>
      <c r="AJ49" s="22"/>
      <c r="AK49" s="22"/>
      <c r="AL49" s="22"/>
      <c r="AM49" s="22"/>
      <c r="AN49" s="22"/>
      <c r="AO49" s="22"/>
      <c r="AP49" s="22"/>
      <c r="AQ49" s="22"/>
      <c r="AR49" s="22"/>
      <c r="AS49" s="22"/>
      <c r="AT49" s="22"/>
      <c r="AU49" s="22"/>
      <c r="AV49" s="22"/>
      <c r="AW49" s="22"/>
      <c r="AX49" s="22"/>
      <c r="AY49" s="22"/>
      <c r="AZ49" s="22"/>
      <c r="BA49" s="22"/>
      <c r="BB49" s="22"/>
      <c r="BC49" s="22"/>
      <c r="BD49" s="22"/>
      <c r="BE49" s="22"/>
      <c r="BF49" s="22"/>
      <c r="BG49" s="22"/>
      <c r="BH49" s="22"/>
      <c r="BI49" s="22"/>
      <c r="BJ49" s="22"/>
      <c r="BK49" s="22"/>
      <c r="BL49" s="22"/>
      <c r="BM49" s="22"/>
      <c r="BN49" s="22"/>
      <c r="BO49" s="22"/>
      <c r="BP49" s="22"/>
      <c r="BQ49" s="22"/>
      <c r="BR49" s="22"/>
      <c r="BS49" s="22"/>
      <c r="BT49" s="22"/>
    </row>
    <row r="50" spans="1:72" s="23" customFormat="1" ht="52.5" customHeight="1" outlineLevel="1" x14ac:dyDescent="0.25">
      <c r="A50" s="333" t="s">
        <v>269</v>
      </c>
      <c r="B50" s="54"/>
      <c r="C50" s="420" t="s">
        <v>191</v>
      </c>
      <c r="D50" s="313">
        <v>0.08</v>
      </c>
      <c r="E50" s="313" t="s">
        <v>27</v>
      </c>
      <c r="F50" s="319"/>
      <c r="G50" s="123">
        <f>G45</f>
        <v>129</v>
      </c>
      <c r="H50" s="124">
        <f>H51*$G51/$G50</f>
        <v>0</v>
      </c>
      <c r="I50" s="134"/>
      <c r="J50" s="128">
        <f>H50+I50</f>
        <v>0</v>
      </c>
      <c r="K50" s="129">
        <f>G50*H50</f>
        <v>0</v>
      </c>
      <c r="L50" s="130">
        <f>G50*I50</f>
        <v>0</v>
      </c>
      <c r="M50" s="128">
        <f>L50+K50</f>
        <v>0</v>
      </c>
      <c r="N50" s="55"/>
      <c r="O50" s="25"/>
      <c r="P50" s="21"/>
      <c r="Q50" s="22"/>
      <c r="R50" s="22"/>
      <c r="S50" s="22"/>
      <c r="T50" s="22"/>
      <c r="U50" s="22"/>
      <c r="V50" s="22"/>
      <c r="W50" s="22"/>
      <c r="X50" s="22"/>
      <c r="Y50" s="22"/>
      <c r="Z50" s="22"/>
      <c r="AA50" s="22"/>
      <c r="AB50" s="22"/>
      <c r="AC50" s="22"/>
      <c r="AD50" s="22"/>
      <c r="AE50" s="22"/>
      <c r="AF50" s="22"/>
      <c r="AG50" s="22"/>
      <c r="AH50" s="22"/>
      <c r="AI50" s="22"/>
      <c r="AJ50" s="22"/>
      <c r="AK50" s="22"/>
      <c r="AL50" s="22"/>
      <c r="AM50" s="22"/>
      <c r="AN50" s="22"/>
      <c r="AO50" s="22"/>
      <c r="AP50" s="22"/>
      <c r="AQ50" s="22"/>
      <c r="AR50" s="22"/>
      <c r="AS50" s="22"/>
      <c r="AT50" s="22"/>
      <c r="AU50" s="22"/>
      <c r="AV50" s="22"/>
      <c r="AW50" s="22"/>
      <c r="AX50" s="22"/>
      <c r="AY50" s="22"/>
      <c r="AZ50" s="22"/>
      <c r="BA50" s="22"/>
      <c r="BB50" s="22"/>
      <c r="BC50" s="22"/>
      <c r="BD50" s="22"/>
      <c r="BE50" s="22"/>
      <c r="BF50" s="22"/>
      <c r="BG50" s="22"/>
      <c r="BH50" s="22"/>
      <c r="BI50" s="22"/>
      <c r="BJ50" s="22"/>
      <c r="BK50" s="22"/>
      <c r="BL50" s="22"/>
      <c r="BM50" s="22"/>
      <c r="BN50" s="22"/>
      <c r="BO50" s="22"/>
      <c r="BP50" s="22"/>
      <c r="BQ50" s="22"/>
      <c r="BR50" s="22"/>
      <c r="BS50" s="22"/>
      <c r="BT50" s="22"/>
    </row>
    <row r="51" spans="1:72" s="23" customFormat="1" ht="37.5" customHeight="1" outlineLevel="1" x14ac:dyDescent="0.25">
      <c r="A51" s="334" t="s">
        <v>272</v>
      </c>
      <c r="B51" s="56"/>
      <c r="C51" s="316" t="s">
        <v>192</v>
      </c>
      <c r="D51" s="317"/>
      <c r="E51" s="318" t="s">
        <v>33</v>
      </c>
      <c r="F51" s="320">
        <f>2.4*D50</f>
        <v>0.192</v>
      </c>
      <c r="G51" s="125">
        <f>G50*F51</f>
        <v>24.77</v>
      </c>
      <c r="H51" s="126"/>
      <c r="I51" s="133"/>
      <c r="J51" s="131"/>
      <c r="K51" s="132"/>
      <c r="L51" s="133"/>
      <c r="M51" s="131"/>
      <c r="N51" s="57"/>
      <c r="O51" s="25"/>
      <c r="P51" s="21"/>
      <c r="Q51" s="22"/>
      <c r="R51" s="22"/>
      <c r="S51" s="22"/>
      <c r="T51" s="22"/>
      <c r="U51" s="22"/>
      <c r="V51" s="22"/>
      <c r="W51" s="22"/>
      <c r="X51" s="22"/>
      <c r="Y51" s="22"/>
      <c r="Z51" s="22"/>
      <c r="AA51" s="22"/>
      <c r="AB51" s="22"/>
      <c r="AC51" s="22"/>
      <c r="AD51" s="22"/>
      <c r="AE51" s="22"/>
      <c r="AF51" s="22"/>
      <c r="AG51" s="22"/>
      <c r="AH51" s="22"/>
      <c r="AI51" s="22"/>
      <c r="AJ51" s="22"/>
      <c r="AK51" s="22"/>
      <c r="AL51" s="22"/>
      <c r="AM51" s="22"/>
      <c r="AN51" s="22"/>
      <c r="AO51" s="22"/>
      <c r="AP51" s="22"/>
      <c r="AQ51" s="22"/>
      <c r="AR51" s="22"/>
      <c r="AS51" s="22"/>
      <c r="AT51" s="22"/>
      <c r="AU51" s="22"/>
      <c r="AV51" s="22"/>
      <c r="AW51" s="22"/>
      <c r="AX51" s="22"/>
      <c r="AY51" s="22"/>
      <c r="AZ51" s="22"/>
      <c r="BA51" s="22"/>
      <c r="BB51" s="22"/>
      <c r="BC51" s="22"/>
      <c r="BD51" s="22"/>
      <c r="BE51" s="22"/>
      <c r="BF51" s="22"/>
      <c r="BG51" s="22"/>
      <c r="BH51" s="22"/>
      <c r="BI51" s="22"/>
      <c r="BJ51" s="22"/>
      <c r="BK51" s="22"/>
      <c r="BL51" s="22"/>
      <c r="BM51" s="22"/>
      <c r="BN51" s="22"/>
      <c r="BO51" s="22"/>
      <c r="BP51" s="22"/>
      <c r="BQ51" s="22"/>
      <c r="BR51" s="22"/>
      <c r="BS51" s="22"/>
      <c r="BT51" s="22"/>
    </row>
    <row r="52" spans="1:72" s="23" customFormat="1" ht="50.25" customHeight="1" outlineLevel="1" x14ac:dyDescent="0.25">
      <c r="A52" s="333" t="s">
        <v>265</v>
      </c>
      <c r="B52" s="54"/>
      <c r="C52" s="421" t="s">
        <v>379</v>
      </c>
      <c r="D52" s="313">
        <v>0.1</v>
      </c>
      <c r="E52" s="313" t="s">
        <v>27</v>
      </c>
      <c r="F52" s="319"/>
      <c r="G52" s="123">
        <f>G45</f>
        <v>129</v>
      </c>
      <c r="H52" s="124">
        <f>H53*$G53/$G52</f>
        <v>0</v>
      </c>
      <c r="I52" s="134"/>
      <c r="J52" s="128">
        <f>H52+I52</f>
        <v>0</v>
      </c>
      <c r="K52" s="129">
        <f>G52*H52</f>
        <v>0</v>
      </c>
      <c r="L52" s="130">
        <f>G52*I52</f>
        <v>0</v>
      </c>
      <c r="M52" s="128">
        <f>L52+K52</f>
        <v>0</v>
      </c>
      <c r="N52" s="55"/>
      <c r="O52" s="25"/>
      <c r="P52" s="21"/>
      <c r="Q52" s="22"/>
      <c r="R52" s="22"/>
      <c r="S52" s="22"/>
      <c r="T52" s="22"/>
      <c r="U52" s="22"/>
      <c r="V52" s="22"/>
      <c r="W52" s="22"/>
      <c r="X52" s="22"/>
      <c r="Y52" s="22"/>
      <c r="Z52" s="22"/>
      <c r="AA52" s="22"/>
      <c r="AB52" s="22"/>
      <c r="AC52" s="22"/>
      <c r="AD52" s="22"/>
      <c r="AE52" s="22"/>
      <c r="AF52" s="22"/>
      <c r="AG52" s="22"/>
      <c r="AH52" s="22"/>
      <c r="AI52" s="22"/>
      <c r="AJ52" s="22"/>
      <c r="AK52" s="22"/>
      <c r="AL52" s="22"/>
      <c r="AM52" s="22"/>
      <c r="AN52" s="22"/>
      <c r="AO52" s="22"/>
      <c r="AP52" s="22"/>
      <c r="AQ52" s="22"/>
      <c r="AR52" s="22"/>
      <c r="AS52" s="22"/>
      <c r="AT52" s="22"/>
      <c r="AU52" s="22"/>
      <c r="AV52" s="22"/>
      <c r="AW52" s="22"/>
      <c r="AX52" s="22"/>
      <c r="AY52" s="22"/>
      <c r="AZ52" s="22"/>
      <c r="BA52" s="22"/>
      <c r="BB52" s="22"/>
      <c r="BC52" s="22"/>
      <c r="BD52" s="22"/>
      <c r="BE52" s="22"/>
      <c r="BF52" s="22"/>
      <c r="BG52" s="22"/>
      <c r="BH52" s="22"/>
      <c r="BI52" s="22"/>
      <c r="BJ52" s="22"/>
      <c r="BK52" s="22"/>
      <c r="BL52" s="22"/>
      <c r="BM52" s="22"/>
      <c r="BN52" s="22"/>
      <c r="BO52" s="22"/>
      <c r="BP52" s="22"/>
      <c r="BQ52" s="22"/>
      <c r="BR52" s="22"/>
      <c r="BS52" s="22"/>
      <c r="BT52" s="22"/>
    </row>
    <row r="53" spans="1:72" s="23" customFormat="1" ht="33.75" customHeight="1" outlineLevel="1" x14ac:dyDescent="0.25">
      <c r="A53" s="334" t="s">
        <v>271</v>
      </c>
      <c r="B53" s="56"/>
      <c r="C53" s="316" t="s">
        <v>190</v>
      </c>
      <c r="D53" s="317"/>
      <c r="E53" s="318" t="s">
        <v>33</v>
      </c>
      <c r="F53" s="419">
        <f>0.2323</f>
        <v>0.23200000000000001</v>
      </c>
      <c r="G53" s="125">
        <f>G52*F53</f>
        <v>29.93</v>
      </c>
      <c r="H53" s="126"/>
      <c r="I53" s="133"/>
      <c r="J53" s="131"/>
      <c r="K53" s="132"/>
      <c r="L53" s="133"/>
      <c r="M53" s="131"/>
      <c r="N53" s="57"/>
      <c r="O53" s="21"/>
      <c r="P53" s="21"/>
      <c r="Q53" s="22"/>
      <c r="R53" s="22"/>
      <c r="S53" s="22"/>
      <c r="T53" s="22"/>
      <c r="U53" s="22"/>
      <c r="V53" s="22"/>
      <c r="W53" s="22"/>
      <c r="X53" s="22"/>
      <c r="Y53" s="22"/>
      <c r="Z53" s="22"/>
      <c r="AA53" s="22"/>
      <c r="AB53" s="22"/>
      <c r="AC53" s="22"/>
      <c r="AD53" s="22"/>
      <c r="AE53" s="22"/>
      <c r="AF53" s="22"/>
      <c r="AG53" s="22"/>
      <c r="AH53" s="22"/>
      <c r="AI53" s="22"/>
      <c r="AJ53" s="22"/>
      <c r="AK53" s="22"/>
      <c r="AL53" s="22"/>
      <c r="AM53" s="22"/>
      <c r="AN53" s="22"/>
      <c r="AO53" s="22"/>
      <c r="AP53" s="22"/>
      <c r="AQ53" s="22"/>
      <c r="AR53" s="22"/>
      <c r="AS53" s="22"/>
      <c r="AT53" s="22"/>
      <c r="AU53" s="22"/>
      <c r="AV53" s="22"/>
      <c r="AW53" s="22"/>
      <c r="AX53" s="22"/>
      <c r="AY53" s="22"/>
      <c r="AZ53" s="22"/>
      <c r="BA53" s="22"/>
      <c r="BB53" s="22"/>
      <c r="BC53" s="22"/>
      <c r="BD53" s="22"/>
      <c r="BE53" s="22"/>
      <c r="BF53" s="22"/>
      <c r="BG53" s="22"/>
      <c r="BH53" s="22"/>
      <c r="BI53" s="22"/>
      <c r="BJ53" s="22"/>
      <c r="BK53" s="22"/>
      <c r="BL53" s="22"/>
      <c r="BM53" s="22"/>
      <c r="BN53" s="22"/>
      <c r="BO53" s="22"/>
      <c r="BP53" s="22"/>
      <c r="BQ53" s="22"/>
      <c r="BR53" s="22"/>
      <c r="BS53" s="22"/>
      <c r="BT53" s="22"/>
    </row>
    <row r="54" spans="1:72" s="23" customFormat="1" ht="39.950000000000003" customHeight="1" outlineLevel="1" x14ac:dyDescent="0.25">
      <c r="A54" s="333" t="s">
        <v>273</v>
      </c>
      <c r="B54" s="313"/>
      <c r="C54" s="312" t="s">
        <v>158</v>
      </c>
      <c r="D54" s="313">
        <v>0.2</v>
      </c>
      <c r="E54" s="313" t="s">
        <v>25</v>
      </c>
      <c r="F54" s="319"/>
      <c r="G54" s="330">
        <f>G45*D54</f>
        <v>25.8</v>
      </c>
      <c r="H54" s="124">
        <f>H55*$G55/$G54</f>
        <v>0</v>
      </c>
      <c r="I54" s="134"/>
      <c r="J54" s="128">
        <f>H54+I54</f>
        <v>0</v>
      </c>
      <c r="K54" s="129">
        <f>G54*H54</f>
        <v>0</v>
      </c>
      <c r="L54" s="130">
        <f>G54*I54</f>
        <v>0</v>
      </c>
      <c r="M54" s="128">
        <f>L54+K54</f>
        <v>0</v>
      </c>
      <c r="N54" s="332"/>
      <c r="O54" s="24"/>
      <c r="P54" s="231"/>
      <c r="Q54" s="232"/>
      <c r="R54" s="232"/>
      <c r="S54" s="232"/>
      <c r="T54" s="232"/>
      <c r="U54" s="232"/>
      <c r="V54" s="232"/>
      <c r="W54" s="232"/>
      <c r="X54" s="232"/>
      <c r="Y54" s="232"/>
      <c r="Z54" s="232"/>
      <c r="AA54" s="22"/>
      <c r="AB54" s="22"/>
      <c r="AC54" s="22"/>
      <c r="AD54" s="22"/>
      <c r="AE54" s="22"/>
      <c r="AF54" s="22"/>
      <c r="AG54" s="22"/>
      <c r="AH54" s="22"/>
      <c r="AI54" s="22"/>
      <c r="AJ54" s="22"/>
      <c r="AK54" s="22"/>
      <c r="AL54" s="22"/>
      <c r="AM54" s="22"/>
      <c r="AN54" s="22"/>
      <c r="AO54" s="22"/>
      <c r="AP54" s="22"/>
      <c r="AQ54" s="22"/>
      <c r="AR54" s="22"/>
      <c r="AS54" s="22"/>
      <c r="AT54" s="22"/>
      <c r="AU54" s="22"/>
      <c r="AV54" s="22"/>
      <c r="AW54" s="22"/>
      <c r="AX54" s="22"/>
      <c r="AY54" s="22"/>
      <c r="AZ54" s="22"/>
      <c r="BA54" s="22"/>
      <c r="BB54" s="22"/>
      <c r="BC54" s="22"/>
      <c r="BD54" s="22"/>
      <c r="BE54" s="22"/>
      <c r="BF54" s="22"/>
      <c r="BG54" s="22"/>
      <c r="BH54" s="22"/>
      <c r="BI54" s="22"/>
      <c r="BJ54" s="22"/>
      <c r="BK54" s="22"/>
      <c r="BL54" s="22"/>
      <c r="BM54" s="22"/>
      <c r="BN54" s="22"/>
      <c r="BO54" s="22"/>
      <c r="BP54" s="22"/>
      <c r="BQ54" s="22"/>
      <c r="BR54" s="22"/>
      <c r="BS54" s="22"/>
      <c r="BT54" s="22"/>
    </row>
    <row r="55" spans="1:72" s="23" customFormat="1" ht="27.95" customHeight="1" outlineLevel="1" x14ac:dyDescent="0.25">
      <c r="A55" s="334" t="s">
        <v>274</v>
      </c>
      <c r="B55" s="321">
        <v>4100006709</v>
      </c>
      <c r="C55" s="316" t="s">
        <v>34</v>
      </c>
      <c r="D55" s="317"/>
      <c r="E55" s="318" t="s">
        <v>25</v>
      </c>
      <c r="F55" s="318">
        <v>1.24</v>
      </c>
      <c r="G55" s="125">
        <f>(G54+3)*F55</f>
        <v>35.71</v>
      </c>
      <c r="H55" s="126"/>
      <c r="I55" s="133"/>
      <c r="J55" s="131"/>
      <c r="K55" s="132"/>
      <c r="L55" s="133"/>
      <c r="M55" s="131"/>
      <c r="N55" s="331" t="s">
        <v>35</v>
      </c>
      <c r="P55" s="233"/>
      <c r="Q55" s="232"/>
      <c r="R55" s="232"/>
      <c r="S55" s="232"/>
      <c r="T55" s="232"/>
      <c r="U55" s="232"/>
      <c r="V55" s="232"/>
      <c r="W55" s="232"/>
      <c r="X55" s="232"/>
      <c r="Y55" s="232"/>
      <c r="Z55" s="232"/>
      <c r="AA55" s="22"/>
      <c r="AB55" s="22"/>
      <c r="AC55" s="22"/>
      <c r="AD55" s="22"/>
      <c r="AE55" s="22"/>
      <c r="AF55" s="22"/>
      <c r="AG55" s="22"/>
      <c r="AH55" s="22"/>
      <c r="AI55" s="22"/>
      <c r="AJ55" s="22"/>
      <c r="AK55" s="22"/>
      <c r="AL55" s="22"/>
      <c r="AM55" s="22"/>
      <c r="AN55" s="22"/>
      <c r="AO55" s="22"/>
      <c r="AP55" s="22"/>
      <c r="AQ55" s="22"/>
      <c r="AR55" s="22"/>
      <c r="AS55" s="22"/>
      <c r="AT55" s="22"/>
      <c r="AU55" s="22"/>
      <c r="AV55" s="22"/>
      <c r="AW55" s="22"/>
      <c r="AX55" s="22"/>
      <c r="AY55" s="22"/>
      <c r="AZ55" s="22"/>
      <c r="BA55" s="22"/>
      <c r="BB55" s="22"/>
      <c r="BC55" s="22"/>
      <c r="BD55" s="22"/>
      <c r="BE55" s="22"/>
      <c r="BF55" s="22"/>
      <c r="BG55" s="22"/>
      <c r="BH55" s="22"/>
      <c r="BI55" s="22"/>
      <c r="BJ55" s="22"/>
      <c r="BK55" s="22"/>
      <c r="BL55" s="22"/>
      <c r="BM55" s="22"/>
      <c r="BN55" s="22"/>
      <c r="BO55" s="22"/>
      <c r="BP55" s="22"/>
      <c r="BQ55" s="22"/>
      <c r="BR55" s="22"/>
      <c r="BS55" s="22"/>
      <c r="BT55" s="22"/>
    </row>
    <row r="56" spans="1:72" s="23" customFormat="1" ht="39.950000000000003" customHeight="1" outlineLevel="1" x14ac:dyDescent="0.25">
      <c r="A56" s="333" t="s">
        <v>275</v>
      </c>
      <c r="B56" s="313"/>
      <c r="C56" s="312" t="s">
        <v>189</v>
      </c>
      <c r="D56" s="313">
        <v>0.22</v>
      </c>
      <c r="E56" s="313" t="s">
        <v>25</v>
      </c>
      <c r="F56" s="319"/>
      <c r="G56" s="330">
        <f>G45*D56</f>
        <v>28.4</v>
      </c>
      <c r="H56" s="124">
        <f>(H57*$G57+H58*G58)/$G56</f>
        <v>0</v>
      </c>
      <c r="I56" s="134"/>
      <c r="J56" s="128">
        <f>H56+I56</f>
        <v>0</v>
      </c>
      <c r="K56" s="129">
        <f>G56*H56</f>
        <v>0</v>
      </c>
      <c r="L56" s="130">
        <f>G56*I56</f>
        <v>0</v>
      </c>
      <c r="M56" s="128">
        <f>L56+K56</f>
        <v>0</v>
      </c>
      <c r="N56" s="332"/>
      <c r="O56" s="24"/>
      <c r="P56" s="231"/>
      <c r="Q56" s="232"/>
      <c r="R56" s="232"/>
      <c r="S56" s="232"/>
      <c r="T56" s="232"/>
      <c r="U56" s="232"/>
      <c r="V56" s="232"/>
      <c r="W56" s="232"/>
      <c r="X56" s="232"/>
      <c r="Y56" s="232"/>
      <c r="Z56" s="232"/>
      <c r="AA56" s="22"/>
      <c r="AB56" s="22"/>
      <c r="AC56" s="22"/>
      <c r="AD56" s="22"/>
      <c r="AE56" s="22"/>
      <c r="AF56" s="22"/>
      <c r="AG56" s="22"/>
      <c r="AH56" s="22"/>
      <c r="AI56" s="22"/>
      <c r="AJ56" s="22"/>
      <c r="AK56" s="22"/>
      <c r="AL56" s="22"/>
      <c r="AM56" s="22"/>
      <c r="AN56" s="22"/>
      <c r="AO56" s="22"/>
      <c r="AP56" s="22"/>
      <c r="AQ56" s="22"/>
      <c r="AR56" s="22"/>
      <c r="AS56" s="22"/>
      <c r="AT56" s="22"/>
      <c r="AU56" s="22"/>
      <c r="AV56" s="22"/>
      <c r="AW56" s="22"/>
      <c r="AX56" s="22"/>
      <c r="AY56" s="22"/>
      <c r="AZ56" s="22"/>
      <c r="BA56" s="22"/>
      <c r="BB56" s="22"/>
      <c r="BC56" s="22"/>
      <c r="BD56" s="22"/>
      <c r="BE56" s="22"/>
      <c r="BF56" s="22"/>
      <c r="BG56" s="22"/>
      <c r="BH56" s="22"/>
      <c r="BI56" s="22"/>
      <c r="BJ56" s="22"/>
      <c r="BK56" s="22"/>
      <c r="BL56" s="22"/>
      <c r="BM56" s="22"/>
      <c r="BN56" s="22"/>
      <c r="BO56" s="22"/>
      <c r="BP56" s="22"/>
      <c r="BQ56" s="22"/>
      <c r="BR56" s="22"/>
      <c r="BS56" s="22"/>
      <c r="BT56" s="22"/>
    </row>
    <row r="57" spans="1:72" s="23" customFormat="1" ht="32.25" customHeight="1" outlineLevel="1" x14ac:dyDescent="0.25">
      <c r="A57" s="334" t="s">
        <v>276</v>
      </c>
      <c r="B57" s="318" t="s">
        <v>185</v>
      </c>
      <c r="C57" s="316" t="s">
        <v>186</v>
      </c>
      <c r="D57" s="317"/>
      <c r="E57" s="318" t="s">
        <v>25</v>
      </c>
      <c r="F57" s="318">
        <v>1.24</v>
      </c>
      <c r="G57" s="125">
        <f>(G56+3)*F57</f>
        <v>38.94</v>
      </c>
      <c r="H57" s="126"/>
      <c r="I57" s="133"/>
      <c r="J57" s="131"/>
      <c r="K57" s="132"/>
      <c r="L57" s="133"/>
      <c r="M57" s="131"/>
      <c r="N57" s="331" t="s">
        <v>35</v>
      </c>
      <c r="O57" s="24"/>
      <c r="P57" s="233"/>
      <c r="Q57" s="232"/>
      <c r="R57" s="232"/>
      <c r="S57" s="232"/>
      <c r="T57" s="232"/>
      <c r="U57" s="232"/>
      <c r="V57" s="232"/>
      <c r="W57" s="232"/>
      <c r="X57" s="232"/>
      <c r="Y57" s="232"/>
      <c r="Z57" s="232"/>
      <c r="AA57" s="22"/>
      <c r="AB57" s="22"/>
      <c r="AC57" s="22"/>
      <c r="AD57" s="22"/>
      <c r="AE57" s="22"/>
      <c r="AF57" s="22"/>
      <c r="AG57" s="22"/>
      <c r="AH57" s="22"/>
      <c r="AI57" s="22"/>
      <c r="AJ57" s="22"/>
      <c r="AK57" s="22"/>
      <c r="AL57" s="22"/>
      <c r="AM57" s="22"/>
      <c r="AN57" s="22"/>
      <c r="AO57" s="22"/>
      <c r="AP57" s="22"/>
      <c r="AQ57" s="22"/>
      <c r="AR57" s="22"/>
      <c r="AS57" s="22"/>
      <c r="AT57" s="22"/>
      <c r="AU57" s="22"/>
      <c r="AV57" s="22"/>
      <c r="AW57" s="22"/>
      <c r="AX57" s="22"/>
      <c r="AY57" s="22"/>
      <c r="AZ57" s="22"/>
      <c r="BA57" s="22"/>
      <c r="BB57" s="22"/>
      <c r="BC57" s="22"/>
      <c r="BD57" s="22"/>
      <c r="BE57" s="22"/>
      <c r="BF57" s="22"/>
      <c r="BG57" s="22"/>
      <c r="BH57" s="22"/>
      <c r="BI57" s="22"/>
      <c r="BJ57" s="22"/>
      <c r="BK57" s="22"/>
      <c r="BL57" s="22"/>
      <c r="BM57" s="22"/>
      <c r="BN57" s="22"/>
      <c r="BO57" s="22"/>
      <c r="BP57" s="22"/>
      <c r="BQ57" s="22"/>
      <c r="BR57" s="22"/>
      <c r="BS57" s="22"/>
      <c r="BT57" s="22"/>
    </row>
    <row r="58" spans="1:72" s="23" customFormat="1" ht="39.75" customHeight="1" outlineLevel="1" x14ac:dyDescent="0.25">
      <c r="A58" s="334" t="s">
        <v>277</v>
      </c>
      <c r="B58" s="318" t="s">
        <v>188</v>
      </c>
      <c r="C58" s="316" t="s">
        <v>187</v>
      </c>
      <c r="D58" s="317"/>
      <c r="E58" s="318" t="s">
        <v>25</v>
      </c>
      <c r="F58" s="318">
        <v>0.1</v>
      </c>
      <c r="G58" s="125">
        <f>G56*F58</f>
        <v>2.84</v>
      </c>
      <c r="H58" s="126"/>
      <c r="I58" s="133"/>
      <c r="J58" s="131"/>
      <c r="K58" s="132"/>
      <c r="L58" s="133"/>
      <c r="M58" s="131"/>
      <c r="N58" s="331"/>
      <c r="O58" s="24"/>
      <c r="P58" s="233"/>
      <c r="Q58" s="232"/>
      <c r="R58" s="232"/>
      <c r="S58" s="232"/>
      <c r="T58" s="232"/>
      <c r="U58" s="232"/>
      <c r="V58" s="232"/>
      <c r="W58" s="232"/>
      <c r="X58" s="232"/>
      <c r="Y58" s="232"/>
      <c r="Z58" s="232"/>
      <c r="AA58" s="22"/>
      <c r="AB58" s="22"/>
      <c r="AC58" s="22"/>
      <c r="AD58" s="22"/>
      <c r="AE58" s="22"/>
      <c r="AF58" s="22"/>
      <c r="AG58" s="22"/>
      <c r="AH58" s="22"/>
      <c r="AI58" s="22"/>
      <c r="AJ58" s="22"/>
      <c r="AK58" s="22"/>
      <c r="AL58" s="22"/>
      <c r="AM58" s="22"/>
      <c r="AN58" s="22"/>
      <c r="AO58" s="22"/>
      <c r="AP58" s="22"/>
      <c r="AQ58" s="22"/>
      <c r="AR58" s="22"/>
      <c r="AS58" s="22"/>
      <c r="AT58" s="22"/>
      <c r="AU58" s="22"/>
      <c r="AV58" s="22"/>
      <c r="AW58" s="22"/>
      <c r="AX58" s="22"/>
      <c r="AY58" s="22"/>
      <c r="AZ58" s="22"/>
      <c r="BA58" s="22"/>
      <c r="BB58" s="22"/>
      <c r="BC58" s="22"/>
      <c r="BD58" s="22"/>
      <c r="BE58" s="22"/>
      <c r="BF58" s="22"/>
      <c r="BG58" s="22"/>
      <c r="BH58" s="22"/>
      <c r="BI58" s="22"/>
      <c r="BJ58" s="22"/>
      <c r="BK58" s="22"/>
      <c r="BL58" s="22"/>
      <c r="BM58" s="22"/>
      <c r="BN58" s="22"/>
      <c r="BO58" s="22"/>
      <c r="BP58" s="22"/>
      <c r="BQ58" s="22"/>
      <c r="BR58" s="22"/>
      <c r="BS58" s="22"/>
      <c r="BT58" s="22"/>
    </row>
    <row r="59" spans="1:72" s="23" customFormat="1" ht="39.950000000000003" customHeight="1" outlineLevel="1" x14ac:dyDescent="0.25">
      <c r="A59" s="333" t="s">
        <v>266</v>
      </c>
      <c r="B59" s="313"/>
      <c r="C59" s="312" t="s">
        <v>159</v>
      </c>
      <c r="D59" s="322">
        <v>0.8</v>
      </c>
      <c r="E59" s="313" t="s">
        <v>25</v>
      </c>
      <c r="F59" s="319"/>
      <c r="G59" s="123">
        <f>G45*D59</f>
        <v>103.2</v>
      </c>
      <c r="H59" s="124">
        <f>H60*$G60/$G59</f>
        <v>0</v>
      </c>
      <c r="I59" s="134"/>
      <c r="J59" s="128">
        <f>H59+I59</f>
        <v>0</v>
      </c>
      <c r="K59" s="129">
        <f>G59*H59</f>
        <v>0</v>
      </c>
      <c r="L59" s="130">
        <f>G59*I59</f>
        <v>0</v>
      </c>
      <c r="M59" s="128">
        <f>L59+K59</f>
        <v>0</v>
      </c>
      <c r="N59" s="135"/>
      <c r="O59" s="24"/>
      <c r="P59" s="21"/>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2"/>
      <c r="BK59" s="22"/>
      <c r="BL59" s="22"/>
      <c r="BM59" s="22"/>
      <c r="BN59" s="22"/>
      <c r="BO59" s="22"/>
      <c r="BP59" s="22"/>
      <c r="BQ59" s="22"/>
      <c r="BR59" s="22"/>
      <c r="BS59" s="22"/>
      <c r="BT59" s="22"/>
    </row>
    <row r="60" spans="1:72" s="23" customFormat="1" ht="27.95" customHeight="1" outlineLevel="1" x14ac:dyDescent="0.25">
      <c r="A60" s="334" t="s">
        <v>278</v>
      </c>
      <c r="B60" s="321">
        <v>4100008584</v>
      </c>
      <c r="C60" s="316" t="s">
        <v>28</v>
      </c>
      <c r="D60" s="317"/>
      <c r="E60" s="318" t="s">
        <v>25</v>
      </c>
      <c r="F60" s="318">
        <v>1.1000000000000001</v>
      </c>
      <c r="G60" s="125">
        <f>(G59+9.8)*F60</f>
        <v>124.3</v>
      </c>
      <c r="H60" s="126"/>
      <c r="I60" s="133"/>
      <c r="J60" s="131"/>
      <c r="K60" s="132"/>
      <c r="L60" s="133"/>
      <c r="M60" s="131"/>
      <c r="N60" s="127"/>
      <c r="O60" s="25"/>
      <c r="P60" s="21"/>
      <c r="Q60" s="22"/>
      <c r="R60" s="22"/>
      <c r="S60" s="22"/>
      <c r="T60" s="22"/>
      <c r="U60" s="22"/>
      <c r="V60" s="22"/>
      <c r="W60" s="22"/>
      <c r="X60" s="22"/>
      <c r="Y60" s="22"/>
      <c r="Z60" s="22"/>
      <c r="AA60" s="22"/>
      <c r="AB60" s="22"/>
      <c r="AC60" s="22"/>
      <c r="AD60" s="22"/>
      <c r="AE60" s="22"/>
      <c r="AF60" s="22"/>
      <c r="AG60" s="22"/>
      <c r="AH60" s="22"/>
      <c r="AI60" s="22"/>
      <c r="AJ60" s="22"/>
      <c r="AK60" s="22"/>
      <c r="AL60" s="22"/>
      <c r="AM60" s="22"/>
      <c r="AN60" s="22"/>
      <c r="AO60" s="22"/>
      <c r="AP60" s="22"/>
      <c r="AQ60" s="22"/>
      <c r="AR60" s="22"/>
      <c r="AS60" s="22"/>
      <c r="AT60" s="22"/>
      <c r="AU60" s="22"/>
      <c r="AV60" s="22"/>
      <c r="AW60" s="22"/>
      <c r="AX60" s="22"/>
      <c r="AY60" s="22"/>
      <c r="AZ60" s="22"/>
      <c r="BA60" s="22"/>
      <c r="BB60" s="22"/>
      <c r="BC60" s="22"/>
      <c r="BD60" s="22"/>
      <c r="BE60" s="22"/>
      <c r="BF60" s="22"/>
      <c r="BG60" s="22"/>
      <c r="BH60" s="22"/>
      <c r="BI60" s="22"/>
      <c r="BJ60" s="22"/>
      <c r="BK60" s="22"/>
      <c r="BL60" s="22"/>
      <c r="BM60" s="22"/>
      <c r="BN60" s="22"/>
      <c r="BO60" s="22"/>
      <c r="BP60" s="22"/>
      <c r="BQ60" s="22"/>
      <c r="BR60" s="22"/>
      <c r="BS60" s="22"/>
      <c r="BT60" s="22"/>
    </row>
    <row r="61" spans="1:72" s="23" customFormat="1" ht="27.95" customHeight="1" outlineLevel="1" x14ac:dyDescent="0.25">
      <c r="A61" s="333" t="s">
        <v>279</v>
      </c>
      <c r="B61" s="313"/>
      <c r="C61" s="300" t="s">
        <v>37</v>
      </c>
      <c r="D61" s="313"/>
      <c r="E61" s="313" t="s">
        <v>27</v>
      </c>
      <c r="F61" s="319"/>
      <c r="G61" s="123">
        <f>G45</f>
        <v>129</v>
      </c>
      <c r="H61" s="124">
        <f>H62*$G62/$G61</f>
        <v>0</v>
      </c>
      <c r="I61" s="134"/>
      <c r="J61" s="128">
        <f>H61+I61</f>
        <v>0</v>
      </c>
      <c r="K61" s="129">
        <f>G61*H61</f>
        <v>0</v>
      </c>
      <c r="L61" s="130">
        <f>G61*I61</f>
        <v>0</v>
      </c>
      <c r="M61" s="128">
        <f>L61+K61</f>
        <v>0</v>
      </c>
      <c r="N61" s="127"/>
      <c r="O61" s="25"/>
      <c r="P61" s="21"/>
      <c r="Q61" s="22"/>
      <c r="R61" s="22"/>
      <c r="S61" s="22"/>
      <c r="T61" s="22"/>
      <c r="U61" s="22"/>
      <c r="V61" s="22"/>
      <c r="W61" s="22"/>
      <c r="X61" s="22"/>
      <c r="Y61" s="22"/>
      <c r="Z61" s="22"/>
      <c r="AA61" s="22"/>
      <c r="AB61" s="22"/>
      <c r="AC61" s="22"/>
      <c r="AD61" s="22"/>
      <c r="AE61" s="22"/>
      <c r="AF61" s="22"/>
      <c r="AG61" s="22"/>
      <c r="AH61" s="22"/>
      <c r="AI61" s="22"/>
      <c r="AJ61" s="22"/>
      <c r="AK61" s="22"/>
      <c r="AL61" s="22"/>
      <c r="AM61" s="22"/>
      <c r="AN61" s="22"/>
      <c r="AO61" s="22"/>
      <c r="AP61" s="22"/>
      <c r="AQ61" s="22"/>
      <c r="AR61" s="22"/>
      <c r="AS61" s="22"/>
      <c r="AT61" s="22"/>
      <c r="AU61" s="22"/>
      <c r="AV61" s="22"/>
      <c r="AW61" s="22"/>
      <c r="AX61" s="22"/>
      <c r="AY61" s="22"/>
      <c r="AZ61" s="22"/>
      <c r="BA61" s="22"/>
      <c r="BB61" s="22"/>
      <c r="BC61" s="22"/>
      <c r="BD61" s="22"/>
      <c r="BE61" s="22"/>
      <c r="BF61" s="22"/>
      <c r="BG61" s="22"/>
      <c r="BH61" s="22"/>
      <c r="BI61" s="22"/>
      <c r="BJ61" s="22"/>
      <c r="BK61" s="22"/>
      <c r="BL61" s="22"/>
      <c r="BM61" s="22"/>
      <c r="BN61" s="22"/>
      <c r="BO61" s="22"/>
      <c r="BP61" s="22"/>
      <c r="BQ61" s="22"/>
      <c r="BR61" s="22"/>
      <c r="BS61" s="22"/>
      <c r="BT61" s="22"/>
    </row>
    <row r="62" spans="1:72" s="23" customFormat="1" ht="27.95" customHeight="1" outlineLevel="1" x14ac:dyDescent="0.25">
      <c r="A62" s="334" t="s">
        <v>280</v>
      </c>
      <c r="B62" s="323">
        <v>4100009584</v>
      </c>
      <c r="C62" s="324" t="s">
        <v>249</v>
      </c>
      <c r="D62" s="317"/>
      <c r="E62" s="318" t="s">
        <v>27</v>
      </c>
      <c r="F62" s="318">
        <v>1.1000000000000001</v>
      </c>
      <c r="G62" s="125">
        <f>(G61)*F62</f>
        <v>141.9</v>
      </c>
      <c r="H62" s="325"/>
      <c r="I62" s="326"/>
      <c r="J62" s="327"/>
      <c r="K62" s="328"/>
      <c r="L62" s="326"/>
      <c r="M62" s="327"/>
      <c r="N62" s="329"/>
      <c r="O62" s="233"/>
      <c r="P62" s="25"/>
      <c r="Q62" s="22"/>
      <c r="R62" s="22"/>
      <c r="S62" s="22"/>
      <c r="T62" s="22"/>
      <c r="U62" s="22"/>
      <c r="V62" s="22"/>
      <c r="W62" s="22"/>
      <c r="X62" s="22"/>
      <c r="Y62" s="22"/>
      <c r="Z62" s="22"/>
      <c r="AA62" s="22"/>
      <c r="AB62" s="22"/>
      <c r="AC62" s="22"/>
      <c r="AD62" s="22"/>
      <c r="AE62" s="22"/>
      <c r="AF62" s="22"/>
      <c r="AG62" s="22"/>
      <c r="AH62" s="22"/>
      <c r="AI62" s="22"/>
      <c r="AJ62" s="22"/>
      <c r="AK62" s="22"/>
      <c r="AL62" s="22"/>
      <c r="AM62" s="22"/>
      <c r="AN62" s="22"/>
      <c r="AO62" s="22"/>
      <c r="AP62" s="22"/>
      <c r="AQ62" s="22"/>
      <c r="AR62" s="22"/>
      <c r="AS62" s="22"/>
      <c r="AT62" s="22"/>
      <c r="AU62" s="22"/>
      <c r="AV62" s="22"/>
      <c r="AW62" s="22"/>
      <c r="AX62" s="22"/>
      <c r="AY62" s="22"/>
      <c r="AZ62" s="22"/>
      <c r="BA62" s="22"/>
      <c r="BB62" s="22"/>
      <c r="BC62" s="22"/>
      <c r="BD62" s="22"/>
      <c r="BE62" s="22"/>
      <c r="BF62" s="22"/>
      <c r="BG62" s="22"/>
      <c r="BH62" s="22"/>
      <c r="BI62" s="22"/>
      <c r="BJ62" s="22"/>
      <c r="BK62" s="22"/>
      <c r="BL62" s="22"/>
      <c r="BM62" s="22"/>
      <c r="BN62" s="22"/>
      <c r="BO62" s="22"/>
      <c r="BP62" s="22"/>
      <c r="BQ62" s="22"/>
      <c r="BR62" s="22"/>
      <c r="BS62" s="22"/>
      <c r="BT62" s="22"/>
    </row>
    <row r="63" spans="1:72" s="23" customFormat="1" ht="27.95" customHeight="1" x14ac:dyDescent="0.25">
      <c r="A63" s="278" t="s">
        <v>226</v>
      </c>
      <c r="B63" s="292"/>
      <c r="C63" s="258" t="s">
        <v>161</v>
      </c>
      <c r="D63" s="259">
        <f>SUM(D64:D73)</f>
        <v>0.75</v>
      </c>
      <c r="E63" s="259" t="s">
        <v>27</v>
      </c>
      <c r="F63" s="259"/>
      <c r="G63" s="314">
        <v>2217</v>
      </c>
      <c r="H63" s="260"/>
      <c r="I63" s="261"/>
      <c r="J63" s="262"/>
      <c r="K63" s="263">
        <f>SUM(K64:K73)</f>
        <v>0</v>
      </c>
      <c r="L63" s="264">
        <f>SUM(L64:L73)</f>
        <v>0</v>
      </c>
      <c r="M63" s="265">
        <f>L63+K63</f>
        <v>0</v>
      </c>
      <c r="N63" s="315"/>
      <c r="O63" s="24"/>
      <c r="P63" s="24"/>
      <c r="Q63" s="22"/>
      <c r="R63" s="22"/>
      <c r="S63" s="22"/>
      <c r="T63" s="22"/>
      <c r="U63" s="22"/>
      <c r="V63" s="22"/>
      <c r="W63" s="22"/>
      <c r="X63" s="22"/>
      <c r="Y63" s="22"/>
      <c r="Z63" s="22"/>
      <c r="AA63" s="22"/>
      <c r="AB63" s="22"/>
      <c r="AC63" s="22"/>
      <c r="AD63" s="22"/>
      <c r="AE63" s="22"/>
      <c r="AF63" s="22"/>
      <c r="AG63" s="22"/>
      <c r="AH63" s="22"/>
      <c r="AI63" s="22"/>
      <c r="AJ63" s="22"/>
      <c r="AK63" s="22"/>
      <c r="AL63" s="22"/>
      <c r="AM63" s="22"/>
      <c r="AN63" s="22"/>
      <c r="AO63" s="22"/>
      <c r="AP63" s="22"/>
      <c r="AQ63" s="22"/>
      <c r="AR63" s="22"/>
      <c r="AS63" s="22"/>
      <c r="AT63" s="22"/>
      <c r="AU63" s="22"/>
      <c r="AV63" s="22"/>
      <c r="AW63" s="22"/>
      <c r="AX63" s="22"/>
      <c r="AY63" s="22"/>
      <c r="AZ63" s="22"/>
      <c r="BA63" s="22"/>
      <c r="BB63" s="22"/>
      <c r="BC63" s="22"/>
      <c r="BD63" s="22"/>
      <c r="BE63" s="22"/>
      <c r="BF63" s="22"/>
      <c r="BG63" s="22"/>
      <c r="BH63" s="22"/>
      <c r="BI63" s="22"/>
      <c r="BJ63" s="22"/>
      <c r="BK63" s="22"/>
      <c r="BL63" s="22"/>
      <c r="BM63" s="22"/>
      <c r="BN63" s="22"/>
      <c r="BO63" s="22"/>
      <c r="BP63" s="22"/>
      <c r="BQ63" s="22"/>
      <c r="BR63" s="22"/>
      <c r="BS63" s="22"/>
      <c r="BT63" s="22"/>
    </row>
    <row r="64" spans="1:72" s="23" customFormat="1" ht="55.5" customHeight="1" outlineLevel="1" x14ac:dyDescent="0.25">
      <c r="A64" s="333" t="s">
        <v>294</v>
      </c>
      <c r="B64" s="313"/>
      <c r="C64" s="420" t="s">
        <v>162</v>
      </c>
      <c r="D64" s="313">
        <v>0.04</v>
      </c>
      <c r="E64" s="313" t="s">
        <v>27</v>
      </c>
      <c r="F64" s="319"/>
      <c r="G64" s="123">
        <f>G63</f>
        <v>2217</v>
      </c>
      <c r="H64" s="124">
        <f>H65*$G65/$G64</f>
        <v>0</v>
      </c>
      <c r="I64" s="134"/>
      <c r="J64" s="128">
        <f>H64+I64</f>
        <v>0</v>
      </c>
      <c r="K64" s="129">
        <f>G64*H64</f>
        <v>0</v>
      </c>
      <c r="L64" s="130">
        <f>G64*I64</f>
        <v>0</v>
      </c>
      <c r="M64" s="128">
        <f>L64+K64</f>
        <v>0</v>
      </c>
      <c r="N64" s="135"/>
      <c r="O64" s="24"/>
      <c r="P64" s="21"/>
      <c r="Q64" s="22"/>
      <c r="R64" s="22"/>
      <c r="S64" s="22"/>
      <c r="T64" s="22"/>
      <c r="U64" s="22"/>
      <c r="V64" s="22"/>
      <c r="W64" s="22"/>
      <c r="X64" s="22"/>
      <c r="Y64" s="22"/>
      <c r="Z64" s="22"/>
      <c r="AA64" s="22"/>
      <c r="AB64" s="22"/>
      <c r="AC64" s="22"/>
      <c r="AD64" s="22"/>
      <c r="AE64" s="22"/>
      <c r="AF64" s="22"/>
      <c r="AG64" s="22"/>
      <c r="AH64" s="22"/>
      <c r="AI64" s="22"/>
      <c r="AJ64" s="22"/>
      <c r="AK64" s="22"/>
      <c r="AL64" s="22"/>
      <c r="AM64" s="22"/>
      <c r="AN64" s="22"/>
      <c r="AO64" s="22"/>
      <c r="AP64" s="22"/>
      <c r="AQ64" s="22"/>
      <c r="AR64" s="22"/>
      <c r="AS64" s="22"/>
      <c r="AT64" s="22"/>
      <c r="AU64" s="22"/>
      <c r="AV64" s="22"/>
      <c r="AW64" s="22"/>
      <c r="AX64" s="22"/>
      <c r="AY64" s="22"/>
      <c r="AZ64" s="22"/>
      <c r="BA64" s="22"/>
      <c r="BB64" s="22"/>
      <c r="BC64" s="22"/>
      <c r="BD64" s="22"/>
      <c r="BE64" s="22"/>
      <c r="BF64" s="22"/>
      <c r="BG64" s="22"/>
      <c r="BH64" s="22"/>
      <c r="BI64" s="22"/>
      <c r="BJ64" s="22"/>
      <c r="BK64" s="22"/>
      <c r="BL64" s="22"/>
      <c r="BM64" s="22"/>
      <c r="BN64" s="22"/>
      <c r="BO64" s="22"/>
      <c r="BP64" s="22"/>
      <c r="BQ64" s="22"/>
      <c r="BR64" s="22"/>
      <c r="BS64" s="22"/>
      <c r="BT64" s="22"/>
    </row>
    <row r="65" spans="1:72" s="23" customFormat="1" ht="45" customHeight="1" outlineLevel="1" x14ac:dyDescent="0.25">
      <c r="A65" s="334" t="s">
        <v>295</v>
      </c>
      <c r="B65" s="321"/>
      <c r="C65" s="316" t="s">
        <v>160</v>
      </c>
      <c r="D65" s="317"/>
      <c r="E65" s="317" t="s">
        <v>33</v>
      </c>
      <c r="F65" s="320">
        <f>D64*2.4</f>
        <v>9.6000000000000002E-2</v>
      </c>
      <c r="G65" s="125">
        <f>G64*F65</f>
        <v>212.83</v>
      </c>
      <c r="H65" s="126"/>
      <c r="I65" s="133"/>
      <c r="J65" s="131"/>
      <c r="K65" s="132"/>
      <c r="L65" s="133"/>
      <c r="M65" s="131"/>
      <c r="N65" s="127"/>
      <c r="O65" s="21"/>
      <c r="P65" s="21"/>
      <c r="Q65" s="22"/>
      <c r="R65" s="22"/>
      <c r="S65" s="22"/>
      <c r="T65" s="22"/>
      <c r="U65" s="22"/>
      <c r="V65" s="22"/>
      <c r="W65" s="22"/>
      <c r="X65" s="22"/>
      <c r="Y65" s="22"/>
      <c r="Z65" s="22"/>
      <c r="AA65" s="22"/>
      <c r="AB65" s="22"/>
      <c r="AC65" s="22"/>
      <c r="AD65" s="22"/>
      <c r="AE65" s="22"/>
      <c r="AF65" s="22"/>
      <c r="AG65" s="22"/>
      <c r="AH65" s="22"/>
      <c r="AI65" s="22"/>
      <c r="AJ65" s="22"/>
      <c r="AK65" s="22"/>
      <c r="AL65" s="22"/>
      <c r="AM65" s="22"/>
      <c r="AN65" s="22"/>
      <c r="AO65" s="22"/>
      <c r="AP65" s="22"/>
      <c r="AQ65" s="22"/>
      <c r="AR65" s="22"/>
      <c r="AS65" s="22"/>
      <c r="AT65" s="22"/>
      <c r="AU65" s="22"/>
      <c r="AV65" s="22"/>
      <c r="AW65" s="22"/>
      <c r="AX65" s="22"/>
      <c r="AY65" s="22"/>
      <c r="AZ65" s="22"/>
      <c r="BA65" s="22"/>
      <c r="BB65" s="22"/>
      <c r="BC65" s="22"/>
      <c r="BD65" s="22"/>
      <c r="BE65" s="22"/>
      <c r="BF65" s="22"/>
      <c r="BG65" s="22"/>
      <c r="BH65" s="22"/>
      <c r="BI65" s="22"/>
      <c r="BJ65" s="22"/>
      <c r="BK65" s="22"/>
      <c r="BL65" s="22"/>
      <c r="BM65" s="22"/>
      <c r="BN65" s="22"/>
      <c r="BO65" s="22"/>
      <c r="BP65" s="22"/>
      <c r="BQ65" s="22"/>
      <c r="BR65" s="22"/>
      <c r="BS65" s="22"/>
      <c r="BT65" s="22"/>
    </row>
    <row r="66" spans="1:72" s="23" customFormat="1" ht="59.1" customHeight="1" outlineLevel="1" x14ac:dyDescent="0.25">
      <c r="A66" s="333" t="s">
        <v>296</v>
      </c>
      <c r="B66" s="313"/>
      <c r="C66" s="420" t="s">
        <v>163</v>
      </c>
      <c r="D66" s="313">
        <v>0.05</v>
      </c>
      <c r="E66" s="313" t="s">
        <v>27</v>
      </c>
      <c r="F66" s="319"/>
      <c r="G66" s="123">
        <f>G63</f>
        <v>2217</v>
      </c>
      <c r="H66" s="124">
        <f>H67*$G67/$G66</f>
        <v>0</v>
      </c>
      <c r="I66" s="134"/>
      <c r="J66" s="128">
        <f>H66+I66</f>
        <v>0</v>
      </c>
      <c r="K66" s="129">
        <f>G66*H66</f>
        <v>0</v>
      </c>
      <c r="L66" s="130">
        <f>G66*I66</f>
        <v>0</v>
      </c>
      <c r="M66" s="128">
        <f>L66+K66</f>
        <v>0</v>
      </c>
      <c r="N66" s="135"/>
      <c r="O66" s="21"/>
      <c r="P66" s="21"/>
      <c r="Q66" s="22"/>
      <c r="R66" s="22"/>
      <c r="S66" s="22"/>
      <c r="T66" s="22"/>
      <c r="U66" s="22"/>
      <c r="V66" s="22"/>
      <c r="W66" s="22"/>
      <c r="X66" s="22"/>
      <c r="Y66" s="22"/>
      <c r="Z66" s="22"/>
      <c r="AA66" s="22"/>
      <c r="AB66" s="22"/>
      <c r="AC66" s="22"/>
      <c r="AD66" s="22"/>
      <c r="AE66" s="22"/>
      <c r="AF66" s="22"/>
      <c r="AG66" s="22"/>
      <c r="AH66" s="22"/>
      <c r="AI66" s="22"/>
      <c r="AJ66" s="22"/>
      <c r="AK66" s="22"/>
      <c r="AL66" s="22"/>
      <c r="AM66" s="22"/>
      <c r="AN66" s="22"/>
      <c r="AO66" s="22"/>
      <c r="AP66" s="22"/>
      <c r="AQ66" s="22"/>
      <c r="AR66" s="22"/>
      <c r="AS66" s="22"/>
      <c r="AT66" s="22"/>
      <c r="AU66" s="22"/>
      <c r="AV66" s="22"/>
      <c r="AW66" s="22"/>
      <c r="AX66" s="22"/>
      <c r="AY66" s="22"/>
      <c r="AZ66" s="22"/>
      <c r="BA66" s="22"/>
      <c r="BB66" s="22"/>
      <c r="BC66" s="22"/>
      <c r="BD66" s="22"/>
      <c r="BE66" s="22"/>
      <c r="BF66" s="22"/>
      <c r="BG66" s="22"/>
      <c r="BH66" s="22"/>
      <c r="BI66" s="22"/>
      <c r="BJ66" s="22"/>
      <c r="BK66" s="22"/>
      <c r="BL66" s="22"/>
      <c r="BM66" s="22"/>
      <c r="BN66" s="22"/>
      <c r="BO66" s="22"/>
      <c r="BP66" s="22"/>
      <c r="BQ66" s="22"/>
      <c r="BR66" s="22"/>
      <c r="BS66" s="22"/>
      <c r="BT66" s="22"/>
    </row>
    <row r="67" spans="1:72" s="23" customFormat="1" ht="46.5" customHeight="1" outlineLevel="1" x14ac:dyDescent="0.25">
      <c r="A67" s="334" t="s">
        <v>297</v>
      </c>
      <c r="B67" s="321"/>
      <c r="C67" s="316" t="s">
        <v>89</v>
      </c>
      <c r="D67" s="317"/>
      <c r="E67" s="317" t="s">
        <v>33</v>
      </c>
      <c r="F67" s="318">
        <f>D66*2.4</f>
        <v>0.12</v>
      </c>
      <c r="G67" s="125">
        <f>G66*F67</f>
        <v>266.04000000000002</v>
      </c>
      <c r="H67" s="126"/>
      <c r="I67" s="133"/>
      <c r="J67" s="131"/>
      <c r="K67" s="132"/>
      <c r="L67" s="133"/>
      <c r="M67" s="131"/>
      <c r="N67" s="127"/>
      <c r="O67" s="21"/>
      <c r="P67" s="21"/>
      <c r="Q67" s="22"/>
      <c r="R67" s="22"/>
      <c r="S67" s="22"/>
      <c r="T67" s="22"/>
      <c r="U67" s="22"/>
      <c r="V67" s="22"/>
      <c r="W67" s="22"/>
      <c r="X67" s="22"/>
      <c r="Y67" s="22"/>
      <c r="Z67" s="22"/>
      <c r="AA67" s="22"/>
      <c r="AB67" s="22"/>
      <c r="AC67" s="22"/>
      <c r="AD67" s="22"/>
      <c r="AE67" s="22"/>
      <c r="AF67" s="22"/>
      <c r="AG67" s="22"/>
      <c r="AH67" s="22"/>
      <c r="AI67" s="22"/>
      <c r="AJ67" s="22"/>
      <c r="AK67" s="22"/>
      <c r="AL67" s="22"/>
      <c r="AM67" s="22"/>
      <c r="AN67" s="22"/>
      <c r="AO67" s="22"/>
      <c r="AP67" s="22"/>
      <c r="AQ67" s="22"/>
      <c r="AR67" s="22"/>
      <c r="AS67" s="22"/>
      <c r="AT67" s="22"/>
      <c r="AU67" s="22"/>
      <c r="AV67" s="22"/>
      <c r="AW67" s="22"/>
      <c r="AX67" s="22"/>
      <c r="AY67" s="22"/>
      <c r="AZ67" s="22"/>
      <c r="BA67" s="22"/>
      <c r="BB67" s="22"/>
      <c r="BC67" s="22"/>
      <c r="BD67" s="22"/>
      <c r="BE67" s="22"/>
      <c r="BF67" s="22"/>
      <c r="BG67" s="22"/>
      <c r="BH67" s="22"/>
      <c r="BI67" s="22"/>
      <c r="BJ67" s="22"/>
      <c r="BK67" s="22"/>
      <c r="BL67" s="22"/>
      <c r="BM67" s="22"/>
      <c r="BN67" s="22"/>
      <c r="BO67" s="22"/>
      <c r="BP67" s="22"/>
      <c r="BQ67" s="22"/>
      <c r="BR67" s="22"/>
      <c r="BS67" s="22"/>
      <c r="BT67" s="22"/>
    </row>
    <row r="68" spans="1:72" s="23" customFormat="1" ht="43.5" customHeight="1" outlineLevel="1" x14ac:dyDescent="0.25">
      <c r="A68" s="333" t="s">
        <v>298</v>
      </c>
      <c r="B68" s="313"/>
      <c r="C68" s="312" t="s">
        <v>164</v>
      </c>
      <c r="D68" s="313">
        <v>0.32</v>
      </c>
      <c r="E68" s="313" t="s">
        <v>25</v>
      </c>
      <c r="F68" s="319"/>
      <c r="G68" s="330">
        <f>G63*D68</f>
        <v>709.4</v>
      </c>
      <c r="H68" s="124">
        <f>H69*$G69/$G68</f>
        <v>0</v>
      </c>
      <c r="I68" s="134"/>
      <c r="J68" s="128">
        <f>H68+I68</f>
        <v>0</v>
      </c>
      <c r="K68" s="129">
        <f>G68*H68</f>
        <v>0</v>
      </c>
      <c r="L68" s="130">
        <f>G68*I68</f>
        <v>0</v>
      </c>
      <c r="M68" s="128">
        <f>L68+K68</f>
        <v>0</v>
      </c>
      <c r="N68" s="332"/>
      <c r="O68" s="25"/>
      <c r="P68" s="21"/>
      <c r="Q68" s="22"/>
      <c r="R68" s="22"/>
      <c r="S68" s="22"/>
      <c r="T68" s="22"/>
      <c r="U68" s="22"/>
      <c r="V68" s="22"/>
      <c r="W68" s="22"/>
      <c r="X68" s="22"/>
      <c r="Y68" s="22"/>
      <c r="Z68" s="22"/>
      <c r="AA68" s="22"/>
      <c r="AB68" s="22"/>
      <c r="AC68" s="22"/>
      <c r="AD68" s="22"/>
      <c r="AE68" s="22"/>
      <c r="AF68" s="22"/>
      <c r="AG68" s="22"/>
      <c r="AH68" s="22"/>
      <c r="AI68" s="22"/>
      <c r="AJ68" s="22"/>
      <c r="AK68" s="22"/>
      <c r="AL68" s="22"/>
      <c r="AM68" s="22"/>
      <c r="AN68" s="22"/>
      <c r="AO68" s="22"/>
      <c r="AP68" s="22"/>
      <c r="AQ68" s="22"/>
      <c r="AR68" s="22"/>
      <c r="AS68" s="22"/>
      <c r="AT68" s="22"/>
      <c r="AU68" s="22"/>
      <c r="AV68" s="22"/>
      <c r="AW68" s="22"/>
      <c r="AX68" s="22"/>
      <c r="AY68" s="22"/>
      <c r="AZ68" s="22"/>
      <c r="BA68" s="22"/>
      <c r="BB68" s="22"/>
      <c r="BC68" s="22"/>
      <c r="BD68" s="22"/>
      <c r="BE68" s="22"/>
      <c r="BF68" s="22"/>
      <c r="BG68" s="22"/>
      <c r="BH68" s="22"/>
      <c r="BI68" s="22"/>
      <c r="BJ68" s="22"/>
      <c r="BK68" s="22"/>
      <c r="BL68" s="22"/>
      <c r="BM68" s="22"/>
      <c r="BN68" s="22"/>
      <c r="BO68" s="22"/>
      <c r="BP68" s="22"/>
      <c r="BQ68" s="22"/>
      <c r="BR68" s="22"/>
      <c r="BS68" s="22"/>
      <c r="BT68" s="22"/>
    </row>
    <row r="69" spans="1:72" s="23" customFormat="1" ht="27.95" customHeight="1" outlineLevel="1" x14ac:dyDescent="0.25">
      <c r="A69" s="334" t="s">
        <v>299</v>
      </c>
      <c r="B69" s="321">
        <v>4100006709</v>
      </c>
      <c r="C69" s="316" t="s">
        <v>34</v>
      </c>
      <c r="D69" s="317"/>
      <c r="E69" s="317" t="s">
        <v>25</v>
      </c>
      <c r="F69" s="318">
        <v>1.24</v>
      </c>
      <c r="G69" s="125">
        <f>(G68+10.4)*F69</f>
        <v>892.55</v>
      </c>
      <c r="H69" s="126"/>
      <c r="I69" s="133"/>
      <c r="J69" s="131"/>
      <c r="K69" s="132"/>
      <c r="L69" s="133"/>
      <c r="M69" s="131"/>
      <c r="N69" s="331"/>
      <c r="O69" s="21"/>
      <c r="P69" s="21"/>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2"/>
      <c r="AR69" s="22"/>
      <c r="AS69" s="22"/>
      <c r="AT69" s="22"/>
      <c r="AU69" s="22"/>
      <c r="AV69" s="22"/>
      <c r="AW69" s="22"/>
      <c r="AX69" s="22"/>
      <c r="AY69" s="22"/>
      <c r="AZ69" s="22"/>
      <c r="BA69" s="22"/>
      <c r="BB69" s="22"/>
      <c r="BC69" s="22"/>
      <c r="BD69" s="22"/>
      <c r="BE69" s="22"/>
      <c r="BF69" s="22"/>
      <c r="BG69" s="22"/>
      <c r="BH69" s="22"/>
      <c r="BI69" s="22"/>
      <c r="BJ69" s="22"/>
      <c r="BK69" s="22"/>
      <c r="BL69" s="22"/>
      <c r="BM69" s="22"/>
      <c r="BN69" s="22"/>
      <c r="BO69" s="22"/>
      <c r="BP69" s="22"/>
      <c r="BQ69" s="22"/>
      <c r="BR69" s="22"/>
      <c r="BS69" s="22"/>
      <c r="BT69" s="22"/>
    </row>
    <row r="70" spans="1:72" s="23" customFormat="1" ht="39.950000000000003" customHeight="1" outlineLevel="1" x14ac:dyDescent="0.25">
      <c r="A70" s="333" t="s">
        <v>300</v>
      </c>
      <c r="B70" s="313"/>
      <c r="C70" s="312" t="s">
        <v>165</v>
      </c>
      <c r="D70" s="322">
        <v>0.34</v>
      </c>
      <c r="E70" s="313" t="s">
        <v>25</v>
      </c>
      <c r="F70" s="319"/>
      <c r="G70" s="123">
        <f>G63*D70</f>
        <v>753.78</v>
      </c>
      <c r="H70" s="124">
        <f>H71*$G71/$G70</f>
        <v>0</v>
      </c>
      <c r="I70" s="134"/>
      <c r="J70" s="128">
        <f>H70+I70</f>
        <v>0</v>
      </c>
      <c r="K70" s="129">
        <f>G70*H70</f>
        <v>0</v>
      </c>
      <c r="L70" s="130">
        <f>G70*I70</f>
        <v>0</v>
      </c>
      <c r="M70" s="128">
        <f>L70+K70</f>
        <v>0</v>
      </c>
      <c r="N70" s="127"/>
      <c r="O70" s="25"/>
      <c r="P70" s="21"/>
      <c r="Q70" s="22"/>
      <c r="R70" s="22"/>
      <c r="S70" s="22"/>
      <c r="T70" s="22"/>
      <c r="U70" s="22"/>
      <c r="V70" s="22"/>
      <c r="W70" s="22"/>
      <c r="X70" s="22"/>
      <c r="Y70" s="22"/>
      <c r="Z70" s="22"/>
      <c r="AA70" s="22"/>
      <c r="AB70" s="22"/>
      <c r="AC70" s="22"/>
      <c r="AD70" s="22"/>
      <c r="AE70" s="22"/>
      <c r="AF70" s="22"/>
      <c r="AG70" s="22"/>
      <c r="AH70" s="22"/>
      <c r="AI70" s="22"/>
      <c r="AJ70" s="22"/>
      <c r="AK70" s="22"/>
      <c r="AL70" s="22"/>
      <c r="AM70" s="22"/>
      <c r="AN70" s="22"/>
      <c r="AO70" s="22"/>
      <c r="AP70" s="22"/>
      <c r="AQ70" s="22"/>
      <c r="AR70" s="22"/>
      <c r="AS70" s="22"/>
      <c r="AT70" s="22"/>
      <c r="AU70" s="22"/>
      <c r="AV70" s="22"/>
      <c r="AW70" s="22"/>
      <c r="AX70" s="22"/>
      <c r="AY70" s="22"/>
      <c r="AZ70" s="22"/>
      <c r="BA70" s="22"/>
      <c r="BB70" s="22"/>
      <c r="BC70" s="22"/>
      <c r="BD70" s="22"/>
      <c r="BE70" s="22"/>
      <c r="BF70" s="22"/>
      <c r="BG70" s="22"/>
      <c r="BH70" s="22"/>
      <c r="BI70" s="22"/>
      <c r="BJ70" s="22"/>
      <c r="BK70" s="22"/>
      <c r="BL70" s="22"/>
      <c r="BM70" s="22"/>
      <c r="BN70" s="22"/>
      <c r="BO70" s="22"/>
      <c r="BP70" s="22"/>
      <c r="BQ70" s="22"/>
      <c r="BR70" s="22"/>
      <c r="BS70" s="22"/>
      <c r="BT70" s="22"/>
    </row>
    <row r="71" spans="1:72" s="23" customFormat="1" ht="27.95" customHeight="1" outlineLevel="1" x14ac:dyDescent="0.25">
      <c r="A71" s="334" t="s">
        <v>301</v>
      </c>
      <c r="B71" s="321">
        <v>4100008584</v>
      </c>
      <c r="C71" s="316" t="s">
        <v>28</v>
      </c>
      <c r="D71" s="317"/>
      <c r="E71" s="317" t="s">
        <v>25</v>
      </c>
      <c r="F71" s="318">
        <v>1.1000000000000001</v>
      </c>
      <c r="G71" s="125">
        <f>(G70)*F71</f>
        <v>829.16</v>
      </c>
      <c r="H71" s="126"/>
      <c r="I71" s="133"/>
      <c r="J71" s="131"/>
      <c r="K71" s="132"/>
      <c r="L71" s="133"/>
      <c r="M71" s="131"/>
      <c r="N71" s="127"/>
      <c r="O71" s="21"/>
      <c r="P71" s="21"/>
      <c r="Q71" s="22"/>
      <c r="R71" s="22"/>
      <c r="S71" s="22"/>
      <c r="T71" s="22"/>
      <c r="U71" s="22"/>
      <c r="V71" s="22"/>
      <c r="W71" s="22"/>
      <c r="X71" s="22"/>
      <c r="Y71" s="22"/>
      <c r="Z71" s="22"/>
      <c r="AA71" s="22"/>
      <c r="AB71" s="22"/>
      <c r="AC71" s="22"/>
      <c r="AD71" s="22"/>
      <c r="AE71" s="22"/>
      <c r="AF71" s="22"/>
      <c r="AG71" s="22"/>
      <c r="AH71" s="22"/>
      <c r="AI71" s="22"/>
      <c r="AJ71" s="22"/>
      <c r="AK71" s="22"/>
      <c r="AL71" s="22"/>
      <c r="AM71" s="22"/>
      <c r="AN71" s="22"/>
      <c r="AO71" s="22"/>
      <c r="AP71" s="22"/>
      <c r="AQ71" s="22"/>
      <c r="AR71" s="22"/>
      <c r="AS71" s="22"/>
      <c r="AT71" s="22"/>
      <c r="AU71" s="22"/>
      <c r="AV71" s="22"/>
      <c r="AW71" s="22"/>
      <c r="AX71" s="22"/>
      <c r="AY71" s="22"/>
      <c r="AZ71" s="22"/>
      <c r="BA71" s="22"/>
      <c r="BB71" s="22"/>
      <c r="BC71" s="22"/>
      <c r="BD71" s="22"/>
      <c r="BE71" s="22"/>
      <c r="BF71" s="22"/>
      <c r="BG71" s="22"/>
      <c r="BH71" s="22"/>
      <c r="BI71" s="22"/>
      <c r="BJ71" s="22"/>
      <c r="BK71" s="22"/>
      <c r="BL71" s="22"/>
      <c r="BM71" s="22"/>
      <c r="BN71" s="22"/>
      <c r="BO71" s="22"/>
      <c r="BP71" s="22"/>
      <c r="BQ71" s="22"/>
      <c r="BR71" s="22"/>
      <c r="BS71" s="22"/>
      <c r="BT71" s="22"/>
    </row>
    <row r="72" spans="1:72" s="23" customFormat="1" ht="39.950000000000003" customHeight="1" outlineLevel="1" x14ac:dyDescent="0.25">
      <c r="A72" s="333" t="s">
        <v>302</v>
      </c>
      <c r="B72" s="313"/>
      <c r="C72" s="300" t="s">
        <v>37</v>
      </c>
      <c r="D72" s="313"/>
      <c r="E72" s="313" t="s">
        <v>27</v>
      </c>
      <c r="F72" s="319"/>
      <c r="G72" s="123">
        <f>G63</f>
        <v>2217</v>
      </c>
      <c r="H72" s="124">
        <f>H73*$G73/$G72</f>
        <v>0</v>
      </c>
      <c r="I72" s="134"/>
      <c r="J72" s="128">
        <f>H72+I72</f>
        <v>0</v>
      </c>
      <c r="K72" s="129">
        <f>G72*H72</f>
        <v>0</v>
      </c>
      <c r="L72" s="130">
        <f>G72*I72</f>
        <v>0</v>
      </c>
      <c r="M72" s="128">
        <f>L72+K72</f>
        <v>0</v>
      </c>
      <c r="N72" s="332"/>
      <c r="O72" s="25"/>
      <c r="P72" s="21"/>
      <c r="Q72" s="22"/>
      <c r="R72" s="22"/>
      <c r="S72" s="22"/>
      <c r="T72" s="22"/>
      <c r="U72" s="22"/>
      <c r="V72" s="22"/>
      <c r="W72" s="22"/>
      <c r="X72" s="22"/>
      <c r="Y72" s="22"/>
      <c r="Z72" s="22"/>
      <c r="AA72" s="22"/>
      <c r="AB72" s="22"/>
      <c r="AC72" s="22"/>
      <c r="AD72" s="22"/>
      <c r="AE72" s="22"/>
      <c r="AF72" s="22"/>
      <c r="AG72" s="22"/>
      <c r="AH72" s="22"/>
      <c r="AI72" s="22"/>
      <c r="AJ72" s="22"/>
      <c r="AK72" s="22"/>
      <c r="AL72" s="22"/>
      <c r="AM72" s="22"/>
      <c r="AN72" s="22"/>
      <c r="AO72" s="22"/>
      <c r="AP72" s="22"/>
      <c r="AQ72" s="22"/>
      <c r="AR72" s="22"/>
      <c r="AS72" s="22"/>
      <c r="AT72" s="22"/>
      <c r="AU72" s="22"/>
      <c r="AV72" s="22"/>
      <c r="AW72" s="22"/>
      <c r="AX72" s="22"/>
      <c r="AY72" s="22"/>
      <c r="AZ72" s="22"/>
      <c r="BA72" s="22"/>
      <c r="BB72" s="22"/>
      <c r="BC72" s="22"/>
      <c r="BD72" s="22"/>
      <c r="BE72" s="22"/>
      <c r="BF72" s="22"/>
      <c r="BG72" s="22"/>
      <c r="BH72" s="22"/>
      <c r="BI72" s="22"/>
      <c r="BJ72" s="22"/>
      <c r="BK72" s="22"/>
      <c r="BL72" s="22"/>
      <c r="BM72" s="22"/>
      <c r="BN72" s="22"/>
      <c r="BO72" s="22"/>
      <c r="BP72" s="22"/>
      <c r="BQ72" s="22"/>
      <c r="BR72" s="22"/>
      <c r="BS72" s="22"/>
      <c r="BT72" s="22"/>
    </row>
    <row r="73" spans="1:72" s="23" customFormat="1" ht="27.95" customHeight="1" outlineLevel="1" x14ac:dyDescent="0.25">
      <c r="A73" s="334" t="s">
        <v>303</v>
      </c>
      <c r="B73" s="323">
        <v>4100009584</v>
      </c>
      <c r="C73" s="324" t="s">
        <v>38</v>
      </c>
      <c r="D73" s="317"/>
      <c r="E73" s="317" t="s">
        <v>27</v>
      </c>
      <c r="F73" s="318">
        <v>1.1000000000000001</v>
      </c>
      <c r="G73" s="125">
        <f>(G72)*F73</f>
        <v>2438.6999999999998</v>
      </c>
      <c r="H73" s="126"/>
      <c r="I73" s="133"/>
      <c r="J73" s="131"/>
      <c r="K73" s="132"/>
      <c r="L73" s="133"/>
      <c r="M73" s="131"/>
      <c r="N73" s="331"/>
      <c r="O73" s="21"/>
      <c r="P73" s="21"/>
      <c r="Q73" s="22"/>
      <c r="R73" s="22"/>
      <c r="S73" s="22"/>
      <c r="T73" s="22"/>
      <c r="U73" s="22"/>
      <c r="V73" s="22"/>
      <c r="W73" s="22"/>
      <c r="X73" s="22"/>
      <c r="Y73" s="22"/>
      <c r="Z73" s="22"/>
      <c r="AA73" s="22"/>
      <c r="AB73" s="22"/>
      <c r="AC73" s="22"/>
      <c r="AD73" s="22"/>
      <c r="AE73" s="22"/>
      <c r="AF73" s="22"/>
      <c r="AG73" s="22"/>
      <c r="AH73" s="22"/>
      <c r="AI73" s="22"/>
      <c r="AJ73" s="22"/>
      <c r="AK73" s="22"/>
      <c r="AL73" s="22"/>
      <c r="AM73" s="22"/>
      <c r="AN73" s="22"/>
      <c r="AO73" s="22"/>
      <c r="AP73" s="22"/>
      <c r="AQ73" s="22"/>
      <c r="AR73" s="22"/>
      <c r="AS73" s="22"/>
      <c r="AT73" s="22"/>
      <c r="AU73" s="22"/>
      <c r="AV73" s="22"/>
      <c r="AW73" s="22"/>
      <c r="AX73" s="22"/>
      <c r="AY73" s="22"/>
      <c r="AZ73" s="22"/>
      <c r="BA73" s="22"/>
      <c r="BB73" s="22"/>
      <c r="BC73" s="22"/>
      <c r="BD73" s="22"/>
      <c r="BE73" s="22"/>
      <c r="BF73" s="22"/>
      <c r="BG73" s="22"/>
      <c r="BH73" s="22"/>
      <c r="BI73" s="22"/>
      <c r="BJ73" s="22"/>
      <c r="BK73" s="22"/>
      <c r="BL73" s="22"/>
      <c r="BM73" s="22"/>
      <c r="BN73" s="22"/>
      <c r="BO73" s="22"/>
      <c r="BP73" s="22"/>
      <c r="BQ73" s="22"/>
      <c r="BR73" s="22"/>
      <c r="BS73" s="22"/>
      <c r="BT73" s="22"/>
    </row>
    <row r="74" spans="1:72" s="23" customFormat="1" ht="27.95" customHeight="1" x14ac:dyDescent="0.25">
      <c r="A74" s="278" t="s">
        <v>227</v>
      </c>
      <c r="B74" s="257"/>
      <c r="C74" s="258" t="s">
        <v>380</v>
      </c>
      <c r="D74" s="259">
        <f>SUM(D75:D82)</f>
        <v>0.56999999999999995</v>
      </c>
      <c r="E74" s="259" t="s">
        <v>27</v>
      </c>
      <c r="F74" s="259"/>
      <c r="G74" s="314">
        <v>59</v>
      </c>
      <c r="H74" s="260"/>
      <c r="I74" s="261"/>
      <c r="J74" s="262"/>
      <c r="K74" s="263">
        <f>SUM(K75:K82)</f>
        <v>0</v>
      </c>
      <c r="L74" s="264">
        <f>SUM(L75:L82)</f>
        <v>0</v>
      </c>
      <c r="M74" s="265">
        <f>L74+K74</f>
        <v>0</v>
      </c>
      <c r="N74" s="315"/>
      <c r="O74" s="24"/>
      <c r="P74" s="24"/>
      <c r="Q74" s="22"/>
      <c r="R74" s="22"/>
      <c r="S74" s="22"/>
      <c r="T74" s="22"/>
      <c r="U74" s="22"/>
      <c r="V74" s="22"/>
      <c r="W74" s="22"/>
      <c r="X74" s="22"/>
      <c r="Y74" s="22"/>
      <c r="Z74" s="22"/>
      <c r="AA74" s="22"/>
      <c r="AB74" s="22"/>
      <c r="AC74" s="22"/>
      <c r="AD74" s="22"/>
      <c r="AE74" s="22"/>
      <c r="AF74" s="22"/>
      <c r="AG74" s="22"/>
      <c r="AH74" s="22"/>
      <c r="AI74" s="22"/>
      <c r="AJ74" s="22"/>
      <c r="AK74" s="22"/>
      <c r="AL74" s="22"/>
      <c r="AM74" s="22"/>
      <c r="AN74" s="22"/>
      <c r="AO74" s="22"/>
      <c r="AP74" s="22"/>
      <c r="AQ74" s="22"/>
      <c r="AR74" s="22"/>
      <c r="AS74" s="22"/>
      <c r="AT74" s="22"/>
      <c r="AU74" s="22"/>
      <c r="AV74" s="22"/>
      <c r="AW74" s="22"/>
      <c r="AX74" s="22"/>
      <c r="AY74" s="22"/>
      <c r="AZ74" s="22"/>
      <c r="BA74" s="22"/>
      <c r="BB74" s="22"/>
      <c r="BC74" s="22"/>
      <c r="BD74" s="22"/>
      <c r="BE74" s="22"/>
      <c r="BF74" s="22"/>
      <c r="BG74" s="22"/>
      <c r="BH74" s="22"/>
      <c r="BI74" s="22"/>
      <c r="BJ74" s="22"/>
      <c r="BK74" s="22"/>
      <c r="BL74" s="22"/>
      <c r="BM74" s="22"/>
      <c r="BN74" s="22"/>
      <c r="BO74" s="22"/>
      <c r="BP74" s="22"/>
      <c r="BQ74" s="22"/>
      <c r="BR74" s="22"/>
      <c r="BS74" s="22"/>
      <c r="BT74" s="22"/>
    </row>
    <row r="75" spans="1:72" s="23" customFormat="1" ht="39.75" customHeight="1" outlineLevel="1" x14ac:dyDescent="0.25">
      <c r="A75" s="333" t="s">
        <v>309</v>
      </c>
      <c r="B75" s="313"/>
      <c r="C75" s="420" t="s">
        <v>195</v>
      </c>
      <c r="D75" s="313">
        <v>0.04</v>
      </c>
      <c r="E75" s="313" t="s">
        <v>27</v>
      </c>
      <c r="F75" s="319"/>
      <c r="G75" s="123">
        <f>G74</f>
        <v>59</v>
      </c>
      <c r="H75" s="124">
        <f>H76*$G76/$G75</f>
        <v>0</v>
      </c>
      <c r="I75" s="134"/>
      <c r="J75" s="128">
        <f>H75+I75</f>
        <v>0</v>
      </c>
      <c r="K75" s="129">
        <f>G75*H75</f>
        <v>0</v>
      </c>
      <c r="L75" s="130">
        <f>G75*I75</f>
        <v>0</v>
      </c>
      <c r="M75" s="128">
        <f>L75+K75</f>
        <v>0</v>
      </c>
      <c r="N75" s="55"/>
      <c r="O75" s="24"/>
      <c r="P75" s="21"/>
      <c r="Q75" s="22"/>
      <c r="R75" s="22"/>
      <c r="S75" s="22"/>
      <c r="T75" s="22"/>
      <c r="U75" s="22"/>
      <c r="V75" s="22"/>
      <c r="W75" s="22"/>
      <c r="X75" s="22"/>
      <c r="Y75" s="22"/>
      <c r="Z75" s="22"/>
      <c r="AA75" s="22"/>
      <c r="AB75" s="22"/>
      <c r="AC75" s="22"/>
      <c r="AD75" s="22"/>
      <c r="AE75" s="22"/>
      <c r="AF75" s="22"/>
      <c r="AG75" s="22"/>
      <c r="AH75" s="22"/>
      <c r="AI75" s="22"/>
      <c r="AJ75" s="22"/>
      <c r="AK75" s="22"/>
      <c r="AL75" s="22"/>
      <c r="AM75" s="22"/>
      <c r="AN75" s="22"/>
      <c r="AO75" s="22"/>
      <c r="AP75" s="22"/>
      <c r="AQ75" s="22"/>
      <c r="AR75" s="22"/>
      <c r="AS75" s="22"/>
      <c r="AT75" s="22"/>
      <c r="AU75" s="22"/>
      <c r="AV75" s="22"/>
      <c r="AW75" s="22"/>
      <c r="AX75" s="22"/>
      <c r="AY75" s="22"/>
      <c r="AZ75" s="22"/>
      <c r="BA75" s="22"/>
      <c r="BB75" s="22"/>
      <c r="BC75" s="22"/>
      <c r="BD75" s="22"/>
      <c r="BE75" s="22"/>
      <c r="BF75" s="22"/>
      <c r="BG75" s="22"/>
      <c r="BH75" s="22"/>
      <c r="BI75" s="22"/>
      <c r="BJ75" s="22"/>
      <c r="BK75" s="22"/>
      <c r="BL75" s="22"/>
      <c r="BM75" s="22"/>
      <c r="BN75" s="22"/>
      <c r="BO75" s="22"/>
      <c r="BP75" s="22"/>
      <c r="BQ75" s="22"/>
      <c r="BR75" s="22"/>
      <c r="BS75" s="22"/>
      <c r="BT75" s="22"/>
    </row>
    <row r="76" spans="1:72" s="23" customFormat="1" ht="25.5" customHeight="1" outlineLevel="1" x14ac:dyDescent="0.25">
      <c r="A76" s="334" t="s">
        <v>310</v>
      </c>
      <c r="B76" s="321"/>
      <c r="C76" s="316" t="s">
        <v>196</v>
      </c>
      <c r="D76" s="317"/>
      <c r="E76" s="317" t="s">
        <v>33</v>
      </c>
      <c r="F76" s="320">
        <v>9.4299999999999995E-2</v>
      </c>
      <c r="G76" s="125">
        <f>G75*F76</f>
        <v>5.56</v>
      </c>
      <c r="H76" s="126"/>
      <c r="I76" s="133"/>
      <c r="J76" s="131"/>
      <c r="K76" s="132"/>
      <c r="L76" s="133"/>
      <c r="M76" s="131"/>
      <c r="N76" s="57"/>
      <c r="O76" s="21"/>
      <c r="P76" s="21"/>
      <c r="Q76" s="22"/>
      <c r="R76" s="22"/>
      <c r="S76" s="22"/>
      <c r="T76" s="22"/>
      <c r="U76" s="22"/>
      <c r="V76" s="22"/>
      <c r="W76" s="22"/>
      <c r="X76" s="22"/>
      <c r="Y76" s="22"/>
      <c r="Z76" s="22"/>
      <c r="AA76" s="22"/>
      <c r="AB76" s="22"/>
      <c r="AC76" s="22"/>
      <c r="AD76" s="22"/>
      <c r="AE76" s="22"/>
      <c r="AF76" s="22"/>
      <c r="AG76" s="22"/>
      <c r="AH76" s="22"/>
      <c r="AI76" s="22"/>
      <c r="AJ76" s="22"/>
      <c r="AK76" s="22"/>
      <c r="AL76" s="22"/>
      <c r="AM76" s="22"/>
      <c r="AN76" s="22"/>
      <c r="AO76" s="22"/>
      <c r="AP76" s="22"/>
      <c r="AQ76" s="22"/>
      <c r="AR76" s="22"/>
      <c r="AS76" s="22"/>
      <c r="AT76" s="22"/>
      <c r="AU76" s="22"/>
      <c r="AV76" s="22"/>
      <c r="AW76" s="22"/>
      <c r="AX76" s="22"/>
      <c r="AY76" s="22"/>
      <c r="AZ76" s="22"/>
      <c r="BA76" s="22"/>
      <c r="BB76" s="22"/>
      <c r="BC76" s="22"/>
      <c r="BD76" s="22"/>
      <c r="BE76" s="22"/>
      <c r="BF76" s="22"/>
      <c r="BG76" s="22"/>
      <c r="BH76" s="22"/>
      <c r="BI76" s="22"/>
      <c r="BJ76" s="22"/>
      <c r="BK76" s="22"/>
      <c r="BL76" s="22"/>
      <c r="BM76" s="22"/>
      <c r="BN76" s="22"/>
      <c r="BO76" s="22"/>
      <c r="BP76" s="22"/>
      <c r="BQ76" s="22"/>
      <c r="BR76" s="22"/>
      <c r="BS76" s="22"/>
      <c r="BT76" s="22"/>
    </row>
    <row r="77" spans="1:72" s="23" customFormat="1" ht="59.1" customHeight="1" outlineLevel="1" x14ac:dyDescent="0.25">
      <c r="A77" s="333" t="s">
        <v>312</v>
      </c>
      <c r="B77" s="313"/>
      <c r="C77" s="420" t="s">
        <v>197</v>
      </c>
      <c r="D77" s="313">
        <v>0.04</v>
      </c>
      <c r="E77" s="313" t="s">
        <v>27</v>
      </c>
      <c r="F77" s="319"/>
      <c r="G77" s="123">
        <f>G74</f>
        <v>59</v>
      </c>
      <c r="H77" s="124">
        <f>H78*$G78/$G77</f>
        <v>0</v>
      </c>
      <c r="I77" s="134"/>
      <c r="J77" s="128">
        <f>H77+I77</f>
        <v>0</v>
      </c>
      <c r="K77" s="129">
        <f>G77*H77</f>
        <v>0</v>
      </c>
      <c r="L77" s="130">
        <f>G77*I77</f>
        <v>0</v>
      </c>
      <c r="M77" s="128">
        <f>L77+K77</f>
        <v>0</v>
      </c>
      <c r="N77" s="135"/>
      <c r="O77" s="422"/>
      <c r="P77" s="21"/>
      <c r="Q77" s="22"/>
      <c r="R77" s="22"/>
      <c r="S77" s="22"/>
      <c r="T77" s="22"/>
      <c r="U77" s="22"/>
      <c r="V77" s="22"/>
      <c r="W77" s="22"/>
      <c r="X77" s="22"/>
      <c r="Y77" s="22"/>
      <c r="Z77" s="22"/>
      <c r="AA77" s="22"/>
      <c r="AB77" s="22"/>
      <c r="AC77" s="22"/>
      <c r="AD77" s="22"/>
      <c r="AE77" s="22"/>
      <c r="AF77" s="22"/>
      <c r="AG77" s="22"/>
      <c r="AH77" s="22"/>
      <c r="AI77" s="22"/>
      <c r="AJ77" s="22"/>
      <c r="AK77" s="22"/>
      <c r="AL77" s="22"/>
      <c r="AM77" s="22"/>
      <c r="AN77" s="22"/>
      <c r="AO77" s="22"/>
      <c r="AP77" s="22"/>
      <c r="AQ77" s="22"/>
      <c r="AR77" s="22"/>
      <c r="AS77" s="22"/>
      <c r="AT77" s="22"/>
      <c r="AU77" s="22"/>
      <c r="AV77" s="22"/>
      <c r="AW77" s="22"/>
      <c r="AX77" s="22"/>
      <c r="AY77" s="22"/>
      <c r="AZ77" s="22"/>
      <c r="BA77" s="22"/>
      <c r="BB77" s="22"/>
      <c r="BC77" s="22"/>
      <c r="BD77" s="22"/>
      <c r="BE77" s="22"/>
      <c r="BF77" s="22"/>
      <c r="BG77" s="22"/>
      <c r="BH77" s="22"/>
      <c r="BI77" s="22"/>
      <c r="BJ77" s="22"/>
      <c r="BK77" s="22"/>
      <c r="BL77" s="22"/>
      <c r="BM77" s="22"/>
      <c r="BN77" s="22"/>
      <c r="BO77" s="22"/>
      <c r="BP77" s="22"/>
      <c r="BQ77" s="22"/>
      <c r="BR77" s="22"/>
      <c r="BS77" s="22"/>
      <c r="BT77" s="22"/>
    </row>
    <row r="78" spans="1:72" s="23" customFormat="1" ht="39.75" customHeight="1" outlineLevel="1" x14ac:dyDescent="0.25">
      <c r="A78" s="334" t="s">
        <v>313</v>
      </c>
      <c r="B78" s="56"/>
      <c r="C78" s="316" t="s">
        <v>198</v>
      </c>
      <c r="D78" s="317"/>
      <c r="E78" s="317" t="s">
        <v>33</v>
      </c>
      <c r="F78" s="318">
        <v>9.5000000000000001E-2</v>
      </c>
      <c r="G78" s="125">
        <f>G77*F78</f>
        <v>5.61</v>
      </c>
      <c r="H78" s="126"/>
      <c r="I78" s="133"/>
      <c r="J78" s="131"/>
      <c r="K78" s="132"/>
      <c r="L78" s="133"/>
      <c r="M78" s="131"/>
      <c r="N78" s="127"/>
      <c r="O78" s="21"/>
      <c r="P78" s="21"/>
      <c r="Q78" s="22"/>
      <c r="R78" s="22"/>
      <c r="S78" s="22"/>
      <c r="T78" s="22"/>
      <c r="U78" s="22"/>
      <c r="V78" s="22"/>
      <c r="W78" s="22"/>
      <c r="X78" s="22"/>
      <c r="Y78" s="22"/>
      <c r="Z78" s="22"/>
      <c r="AA78" s="22"/>
      <c r="AB78" s="22"/>
      <c r="AC78" s="22"/>
      <c r="AD78" s="22"/>
      <c r="AE78" s="22"/>
      <c r="AF78" s="22"/>
      <c r="AG78" s="22"/>
      <c r="AH78" s="22"/>
      <c r="AI78" s="22"/>
      <c r="AJ78" s="22"/>
      <c r="AK78" s="22"/>
      <c r="AL78" s="22"/>
      <c r="AM78" s="22"/>
      <c r="AN78" s="22"/>
      <c r="AO78" s="22"/>
      <c r="AP78" s="22"/>
      <c r="AQ78" s="22"/>
      <c r="AR78" s="22"/>
      <c r="AS78" s="22"/>
      <c r="AT78" s="22"/>
      <c r="AU78" s="22"/>
      <c r="AV78" s="22"/>
      <c r="AW78" s="22"/>
      <c r="AX78" s="22"/>
      <c r="AY78" s="22"/>
      <c r="AZ78" s="22"/>
      <c r="BA78" s="22"/>
      <c r="BB78" s="22"/>
      <c r="BC78" s="22"/>
      <c r="BD78" s="22"/>
      <c r="BE78" s="22"/>
      <c r="BF78" s="22"/>
      <c r="BG78" s="22"/>
      <c r="BH78" s="22"/>
      <c r="BI78" s="22"/>
      <c r="BJ78" s="22"/>
      <c r="BK78" s="22"/>
      <c r="BL78" s="22"/>
      <c r="BM78" s="22"/>
      <c r="BN78" s="22"/>
      <c r="BO78" s="22"/>
      <c r="BP78" s="22"/>
      <c r="BQ78" s="22"/>
      <c r="BR78" s="22"/>
      <c r="BS78" s="22"/>
      <c r="BT78" s="22"/>
    </row>
    <row r="79" spans="1:72" s="23" customFormat="1" ht="43.5" customHeight="1" outlineLevel="1" x14ac:dyDescent="0.25">
      <c r="A79" s="333" t="s">
        <v>314</v>
      </c>
      <c r="B79" s="313"/>
      <c r="C79" s="312" t="s">
        <v>164</v>
      </c>
      <c r="D79" s="313">
        <v>0.15</v>
      </c>
      <c r="E79" s="313" t="s">
        <v>25</v>
      </c>
      <c r="F79" s="319"/>
      <c r="G79" s="330">
        <f>G74*D79</f>
        <v>8.9</v>
      </c>
      <c r="H79" s="124">
        <f>H80*$G80/$G79</f>
        <v>0</v>
      </c>
      <c r="I79" s="134"/>
      <c r="J79" s="128">
        <f>H79+I79</f>
        <v>0</v>
      </c>
      <c r="K79" s="129">
        <f>G79*H79</f>
        <v>0</v>
      </c>
      <c r="L79" s="130">
        <f>G79*I79</f>
        <v>0</v>
      </c>
      <c r="M79" s="128">
        <f>L79+K79</f>
        <v>0</v>
      </c>
      <c r="N79" s="332"/>
      <c r="O79" s="25"/>
      <c r="P79" s="21"/>
      <c r="Q79" s="22"/>
      <c r="R79" s="22"/>
      <c r="S79" s="22"/>
      <c r="T79" s="22"/>
      <c r="U79" s="22"/>
      <c r="V79" s="22"/>
      <c r="W79" s="22"/>
      <c r="X79" s="22"/>
      <c r="Y79" s="22"/>
      <c r="Z79" s="22"/>
      <c r="AA79" s="22"/>
      <c r="AB79" s="22"/>
      <c r="AC79" s="22"/>
      <c r="AD79" s="22"/>
      <c r="AE79" s="22"/>
      <c r="AF79" s="22"/>
      <c r="AG79" s="22"/>
      <c r="AH79" s="22"/>
      <c r="AI79" s="22"/>
      <c r="AJ79" s="22"/>
      <c r="AK79" s="22"/>
      <c r="AL79" s="22"/>
      <c r="AM79" s="22"/>
      <c r="AN79" s="22"/>
      <c r="AO79" s="22"/>
      <c r="AP79" s="22"/>
      <c r="AQ79" s="22"/>
      <c r="AR79" s="22"/>
      <c r="AS79" s="22"/>
      <c r="AT79" s="22"/>
      <c r="AU79" s="22"/>
      <c r="AV79" s="22"/>
      <c r="AW79" s="22"/>
      <c r="AX79" s="22"/>
      <c r="AY79" s="22"/>
      <c r="AZ79" s="22"/>
      <c r="BA79" s="22"/>
      <c r="BB79" s="22"/>
      <c r="BC79" s="22"/>
      <c r="BD79" s="22"/>
      <c r="BE79" s="22"/>
      <c r="BF79" s="22"/>
      <c r="BG79" s="22"/>
      <c r="BH79" s="22"/>
      <c r="BI79" s="22"/>
      <c r="BJ79" s="22"/>
      <c r="BK79" s="22"/>
      <c r="BL79" s="22"/>
      <c r="BM79" s="22"/>
      <c r="BN79" s="22"/>
      <c r="BO79" s="22"/>
      <c r="BP79" s="22"/>
      <c r="BQ79" s="22"/>
      <c r="BR79" s="22"/>
      <c r="BS79" s="22"/>
      <c r="BT79" s="22"/>
    </row>
    <row r="80" spans="1:72" s="23" customFormat="1" ht="27.95" customHeight="1" outlineLevel="1" x14ac:dyDescent="0.25">
      <c r="A80" s="334" t="s">
        <v>315</v>
      </c>
      <c r="B80" s="321">
        <v>4100006709</v>
      </c>
      <c r="C80" s="316" t="s">
        <v>34</v>
      </c>
      <c r="D80" s="317"/>
      <c r="E80" s="317" t="s">
        <v>25</v>
      </c>
      <c r="F80" s="318">
        <v>1.24</v>
      </c>
      <c r="G80" s="125">
        <f>(G79)*F80</f>
        <v>11.04</v>
      </c>
      <c r="H80" s="126"/>
      <c r="I80" s="133"/>
      <c r="J80" s="131"/>
      <c r="K80" s="132"/>
      <c r="L80" s="133"/>
      <c r="M80" s="131"/>
      <c r="N80" s="331"/>
      <c r="O80" s="21"/>
      <c r="P80" s="21"/>
      <c r="Q80" s="22"/>
      <c r="R80" s="22"/>
      <c r="S80" s="22"/>
      <c r="T80" s="22"/>
      <c r="U80" s="22"/>
      <c r="V80" s="22"/>
      <c r="W80" s="22"/>
      <c r="X80" s="22"/>
      <c r="Y80" s="22"/>
      <c r="Z80" s="22"/>
      <c r="AA80" s="22"/>
      <c r="AB80" s="22"/>
      <c r="AC80" s="22"/>
      <c r="AD80" s="22"/>
      <c r="AE80" s="22"/>
      <c r="AF80" s="22"/>
      <c r="AG80" s="22"/>
      <c r="AH80" s="22"/>
      <c r="AI80" s="22"/>
      <c r="AJ80" s="22"/>
      <c r="AK80" s="22"/>
      <c r="AL80" s="22"/>
      <c r="AM80" s="22"/>
      <c r="AN80" s="22"/>
      <c r="AO80" s="22"/>
      <c r="AP80" s="22"/>
      <c r="AQ80" s="22"/>
      <c r="AR80" s="22"/>
      <c r="AS80" s="22"/>
      <c r="AT80" s="22"/>
      <c r="AU80" s="22"/>
      <c r="AV80" s="22"/>
      <c r="AW80" s="22"/>
      <c r="AX80" s="22"/>
      <c r="AY80" s="22"/>
      <c r="AZ80" s="22"/>
      <c r="BA80" s="22"/>
      <c r="BB80" s="22"/>
      <c r="BC80" s="22"/>
      <c r="BD80" s="22"/>
      <c r="BE80" s="22"/>
      <c r="BF80" s="22"/>
      <c r="BG80" s="22"/>
      <c r="BH80" s="22"/>
      <c r="BI80" s="22"/>
      <c r="BJ80" s="22"/>
      <c r="BK80" s="22"/>
      <c r="BL80" s="22"/>
      <c r="BM80" s="22"/>
      <c r="BN80" s="22"/>
      <c r="BO80" s="22"/>
      <c r="BP80" s="22"/>
      <c r="BQ80" s="22"/>
      <c r="BR80" s="22"/>
      <c r="BS80" s="22"/>
      <c r="BT80" s="22"/>
    </row>
    <row r="81" spans="1:72" s="23" customFormat="1" ht="39.950000000000003" customHeight="1" outlineLevel="1" x14ac:dyDescent="0.25">
      <c r="A81" s="333" t="s">
        <v>316</v>
      </c>
      <c r="B81" s="313"/>
      <c r="C81" s="312" t="s">
        <v>165</v>
      </c>
      <c r="D81" s="322">
        <v>0.34</v>
      </c>
      <c r="E81" s="313" t="s">
        <v>25</v>
      </c>
      <c r="F81" s="319"/>
      <c r="G81" s="123">
        <f>G74*D81</f>
        <v>20.059999999999999</v>
      </c>
      <c r="H81" s="124">
        <f>H82*$G82/$G81</f>
        <v>0</v>
      </c>
      <c r="I81" s="134"/>
      <c r="J81" s="128">
        <f>H81+I81</f>
        <v>0</v>
      </c>
      <c r="K81" s="129">
        <f>G81*H81</f>
        <v>0</v>
      </c>
      <c r="L81" s="130">
        <f>G81*I81</f>
        <v>0</v>
      </c>
      <c r="M81" s="128">
        <f>L81+K81</f>
        <v>0</v>
      </c>
      <c r="N81" s="127"/>
      <c r="O81" s="25"/>
      <c r="P81" s="21"/>
      <c r="Q81" s="22"/>
      <c r="R81" s="22"/>
      <c r="S81" s="22"/>
      <c r="T81" s="22"/>
      <c r="U81" s="22"/>
      <c r="V81" s="22"/>
      <c r="W81" s="22"/>
      <c r="X81" s="22"/>
      <c r="Y81" s="22"/>
      <c r="Z81" s="22"/>
      <c r="AA81" s="22"/>
      <c r="AB81" s="22"/>
      <c r="AC81" s="22"/>
      <c r="AD81" s="22"/>
      <c r="AE81" s="22"/>
      <c r="AF81" s="22"/>
      <c r="AG81" s="22"/>
      <c r="AH81" s="22"/>
      <c r="AI81" s="22"/>
      <c r="AJ81" s="22"/>
      <c r="AK81" s="22"/>
      <c r="AL81" s="22"/>
      <c r="AM81" s="22"/>
      <c r="AN81" s="22"/>
      <c r="AO81" s="22"/>
      <c r="AP81" s="22"/>
      <c r="AQ81" s="22"/>
      <c r="AR81" s="22"/>
      <c r="AS81" s="22"/>
      <c r="AT81" s="22"/>
      <c r="AU81" s="22"/>
      <c r="AV81" s="22"/>
      <c r="AW81" s="22"/>
      <c r="AX81" s="22"/>
      <c r="AY81" s="22"/>
      <c r="AZ81" s="22"/>
      <c r="BA81" s="22"/>
      <c r="BB81" s="22"/>
      <c r="BC81" s="22"/>
      <c r="BD81" s="22"/>
      <c r="BE81" s="22"/>
      <c r="BF81" s="22"/>
      <c r="BG81" s="22"/>
      <c r="BH81" s="22"/>
      <c r="BI81" s="22"/>
      <c r="BJ81" s="22"/>
      <c r="BK81" s="22"/>
      <c r="BL81" s="22"/>
      <c r="BM81" s="22"/>
      <c r="BN81" s="22"/>
      <c r="BO81" s="22"/>
      <c r="BP81" s="22"/>
      <c r="BQ81" s="22"/>
      <c r="BR81" s="22"/>
      <c r="BS81" s="22"/>
      <c r="BT81" s="22"/>
    </row>
    <row r="82" spans="1:72" s="23" customFormat="1" ht="27.95" customHeight="1" outlineLevel="1" x14ac:dyDescent="0.25">
      <c r="A82" s="334" t="s">
        <v>317</v>
      </c>
      <c r="B82" s="321">
        <v>4100008584</v>
      </c>
      <c r="C82" s="316" t="s">
        <v>28</v>
      </c>
      <c r="D82" s="317"/>
      <c r="E82" s="317" t="s">
        <v>25</v>
      </c>
      <c r="F82" s="318">
        <v>1.1000000000000001</v>
      </c>
      <c r="G82" s="125">
        <f>(G81)*F82</f>
        <v>22.07</v>
      </c>
      <c r="H82" s="126"/>
      <c r="I82" s="133"/>
      <c r="J82" s="131"/>
      <c r="K82" s="132"/>
      <c r="L82" s="133"/>
      <c r="M82" s="131"/>
      <c r="N82" s="127"/>
      <c r="O82" s="21"/>
      <c r="P82" s="21"/>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2"/>
      <c r="BK82" s="22"/>
      <c r="BL82" s="22"/>
      <c r="BM82" s="22"/>
      <c r="BN82" s="22"/>
      <c r="BO82" s="22"/>
      <c r="BP82" s="22"/>
      <c r="BQ82" s="22"/>
      <c r="BR82" s="22"/>
      <c r="BS82" s="22"/>
      <c r="BT82" s="22"/>
    </row>
    <row r="83" spans="1:72" s="23" customFormat="1" ht="27" customHeight="1" x14ac:dyDescent="0.25">
      <c r="A83" s="278" t="s">
        <v>228</v>
      </c>
      <c r="B83" s="257"/>
      <c r="C83" s="258" t="s">
        <v>201</v>
      </c>
      <c r="D83" s="259">
        <f>SUM(D84:D105)</f>
        <v>0.93</v>
      </c>
      <c r="E83" s="259" t="s">
        <v>27</v>
      </c>
      <c r="F83" s="259"/>
      <c r="G83" s="314">
        <v>2866.7</v>
      </c>
      <c r="H83" s="260"/>
      <c r="I83" s="261"/>
      <c r="J83" s="262"/>
      <c r="K83" s="263">
        <f>SUM(K84:K85)</f>
        <v>0</v>
      </c>
      <c r="L83" s="264">
        <f>SUM(L84:L85)</f>
        <v>0</v>
      </c>
      <c r="M83" s="265">
        <f>L83+K83</f>
        <v>0</v>
      </c>
      <c r="N83" s="315"/>
      <c r="O83" s="24"/>
      <c r="P83" s="24"/>
      <c r="Q83" s="22"/>
      <c r="R83" s="22"/>
      <c r="S83" s="22"/>
      <c r="T83" s="22"/>
      <c r="U83" s="22"/>
      <c r="V83" s="22"/>
      <c r="W83" s="22"/>
      <c r="X83" s="22"/>
      <c r="Y83" s="22"/>
      <c r="Z83" s="22"/>
      <c r="AA83" s="22"/>
      <c r="AB83" s="22"/>
      <c r="AC83" s="22"/>
      <c r="AD83" s="22"/>
      <c r="AE83" s="22"/>
      <c r="AF83" s="22"/>
      <c r="AG83" s="22"/>
      <c r="AH83" s="22"/>
      <c r="AI83" s="22"/>
      <c r="AJ83" s="22"/>
      <c r="AK83" s="22"/>
      <c r="AL83" s="22"/>
      <c r="AM83" s="22"/>
      <c r="AN83" s="22"/>
      <c r="AO83" s="22"/>
      <c r="AP83" s="22"/>
      <c r="AQ83" s="22"/>
      <c r="AR83" s="22"/>
      <c r="AS83" s="22"/>
      <c r="AT83" s="22"/>
      <c r="AU83" s="22"/>
      <c r="AV83" s="22"/>
      <c r="AW83" s="22"/>
      <c r="AX83" s="22"/>
      <c r="AY83" s="22"/>
      <c r="AZ83" s="22"/>
      <c r="BA83" s="22"/>
      <c r="BB83" s="22"/>
      <c r="BC83" s="22"/>
      <c r="BD83" s="22"/>
      <c r="BE83" s="22"/>
      <c r="BF83" s="22"/>
      <c r="BG83" s="22"/>
      <c r="BH83" s="22"/>
      <c r="BI83" s="22"/>
      <c r="BJ83" s="22"/>
      <c r="BK83" s="22"/>
      <c r="BL83" s="22"/>
      <c r="BM83" s="22"/>
      <c r="BN83" s="22"/>
      <c r="BO83" s="22"/>
      <c r="BP83" s="22"/>
      <c r="BQ83" s="22"/>
      <c r="BR83" s="22"/>
      <c r="BS83" s="22"/>
      <c r="BT83" s="22"/>
    </row>
    <row r="84" spans="1:72" s="23" customFormat="1" ht="54.75" customHeight="1" outlineLevel="1" x14ac:dyDescent="0.25">
      <c r="A84" s="333" t="s">
        <v>318</v>
      </c>
      <c r="B84" s="54"/>
      <c r="C84" s="420" t="s">
        <v>199</v>
      </c>
      <c r="D84" s="313">
        <v>0.05</v>
      </c>
      <c r="E84" s="313" t="s">
        <v>27</v>
      </c>
      <c r="F84" s="319"/>
      <c r="G84" s="123">
        <f>G83</f>
        <v>2866.7</v>
      </c>
      <c r="H84" s="124">
        <f>H85*$G85/$G84</f>
        <v>0</v>
      </c>
      <c r="I84" s="134"/>
      <c r="J84" s="128">
        <f>H84+I84</f>
        <v>0</v>
      </c>
      <c r="K84" s="129">
        <f>G84*H84</f>
        <v>0</v>
      </c>
      <c r="L84" s="130">
        <f>G84*I84</f>
        <v>0</v>
      </c>
      <c r="M84" s="128">
        <f>L84+K84</f>
        <v>0</v>
      </c>
      <c r="N84" s="55"/>
      <c r="O84" s="25"/>
      <c r="P84" s="21"/>
      <c r="Q84" s="22"/>
      <c r="R84" s="22"/>
      <c r="S84" s="22"/>
      <c r="T84" s="22"/>
      <c r="U84" s="22"/>
      <c r="V84" s="22"/>
      <c r="W84" s="22"/>
      <c r="X84" s="22"/>
      <c r="Y84" s="22"/>
      <c r="Z84" s="22"/>
      <c r="AA84" s="22"/>
      <c r="AB84" s="22"/>
      <c r="AC84" s="22"/>
      <c r="AD84" s="22"/>
      <c r="AE84" s="22"/>
      <c r="AF84" s="22"/>
      <c r="AG84" s="22"/>
      <c r="AH84" s="22"/>
      <c r="AI84" s="22"/>
      <c r="AJ84" s="22"/>
      <c r="AK84" s="22"/>
      <c r="AL84" s="22"/>
      <c r="AM84" s="22"/>
      <c r="AN84" s="22"/>
      <c r="AO84" s="22"/>
      <c r="AP84" s="22"/>
      <c r="AQ84" s="22"/>
      <c r="AR84" s="22"/>
      <c r="AS84" s="22"/>
      <c r="AT84" s="22"/>
      <c r="AU84" s="22"/>
      <c r="AV84" s="22"/>
      <c r="AW84" s="22"/>
      <c r="AX84" s="22"/>
      <c r="AY84" s="22"/>
      <c r="AZ84" s="22"/>
      <c r="BA84" s="22"/>
      <c r="BB84" s="22"/>
      <c r="BC84" s="22"/>
      <c r="BD84" s="22"/>
      <c r="BE84" s="22"/>
      <c r="BF84" s="22"/>
      <c r="BG84" s="22"/>
      <c r="BH84" s="22"/>
      <c r="BI84" s="22"/>
      <c r="BJ84" s="22"/>
      <c r="BK84" s="22"/>
      <c r="BL84" s="22"/>
      <c r="BM84" s="22"/>
      <c r="BN84" s="22"/>
      <c r="BO84" s="22"/>
      <c r="BP84" s="22"/>
      <c r="BQ84" s="22"/>
      <c r="BR84" s="22"/>
      <c r="BS84" s="22"/>
      <c r="BT84" s="22"/>
    </row>
    <row r="85" spans="1:72" s="23" customFormat="1" ht="42.75" customHeight="1" outlineLevel="1" x14ac:dyDescent="0.25">
      <c r="A85" s="334" t="s">
        <v>329</v>
      </c>
      <c r="B85" s="56"/>
      <c r="C85" s="316" t="s">
        <v>200</v>
      </c>
      <c r="D85" s="317"/>
      <c r="E85" s="318" t="s">
        <v>33</v>
      </c>
      <c r="F85" s="419">
        <f>2.4*D84</f>
        <v>0.12</v>
      </c>
      <c r="G85" s="125">
        <f>G84*F85</f>
        <v>344</v>
      </c>
      <c r="H85" s="126"/>
      <c r="I85" s="133"/>
      <c r="J85" s="131"/>
      <c r="K85" s="132"/>
      <c r="L85" s="133"/>
      <c r="M85" s="131"/>
      <c r="N85" s="57"/>
      <c r="O85" s="25"/>
      <c r="P85" s="21"/>
      <c r="Q85" s="22"/>
      <c r="R85" s="22"/>
      <c r="S85" s="22"/>
      <c r="T85" s="22"/>
      <c r="U85" s="22"/>
      <c r="V85" s="22"/>
      <c r="W85" s="22"/>
      <c r="X85" s="22"/>
      <c r="Y85" s="22"/>
      <c r="Z85" s="22"/>
      <c r="AA85" s="22"/>
      <c r="AB85" s="22"/>
      <c r="AC85" s="22"/>
      <c r="AD85" s="22"/>
      <c r="AE85" s="22"/>
      <c r="AF85" s="22"/>
      <c r="AG85" s="22"/>
      <c r="AH85" s="22"/>
      <c r="AI85" s="22"/>
      <c r="AJ85" s="22"/>
      <c r="AK85" s="22"/>
      <c r="AL85" s="22"/>
      <c r="AM85" s="22"/>
      <c r="AN85" s="22"/>
      <c r="AO85" s="22"/>
      <c r="AP85" s="22"/>
      <c r="AQ85" s="22"/>
      <c r="AR85" s="22"/>
      <c r="AS85" s="22"/>
      <c r="AT85" s="22"/>
      <c r="AU85" s="22"/>
      <c r="AV85" s="22"/>
      <c r="AW85" s="22"/>
      <c r="AX85" s="22"/>
      <c r="AY85" s="22"/>
      <c r="AZ85" s="22"/>
      <c r="BA85" s="22"/>
      <c r="BB85" s="22"/>
      <c r="BC85" s="22"/>
      <c r="BD85" s="22"/>
      <c r="BE85" s="22"/>
      <c r="BF85" s="22"/>
      <c r="BG85" s="22"/>
      <c r="BH85" s="22"/>
      <c r="BI85" s="22"/>
      <c r="BJ85" s="22"/>
      <c r="BK85" s="22"/>
      <c r="BL85" s="22"/>
      <c r="BM85" s="22"/>
      <c r="BN85" s="22"/>
      <c r="BO85" s="22"/>
      <c r="BP85" s="22"/>
      <c r="BQ85" s="22"/>
      <c r="BR85" s="22"/>
      <c r="BS85" s="22"/>
      <c r="BT85" s="22"/>
    </row>
    <row r="86" spans="1:72" s="23" customFormat="1" ht="27" customHeight="1" x14ac:dyDescent="0.25">
      <c r="A86" s="278" t="s">
        <v>229</v>
      </c>
      <c r="B86" s="257"/>
      <c r="C86" s="258" t="s">
        <v>202</v>
      </c>
      <c r="D86" s="259">
        <f>SUM(D87:D108)</f>
        <v>0.44</v>
      </c>
      <c r="E86" s="259" t="s">
        <v>27</v>
      </c>
      <c r="F86" s="259"/>
      <c r="G86" s="314">
        <v>693.6</v>
      </c>
      <c r="H86" s="260"/>
      <c r="I86" s="261"/>
      <c r="J86" s="262"/>
      <c r="K86" s="263">
        <f>SUM(K87:K88)</f>
        <v>0</v>
      </c>
      <c r="L86" s="264">
        <f>SUM(L87:L88)</f>
        <v>0</v>
      </c>
      <c r="M86" s="265">
        <f>L86+K86</f>
        <v>0</v>
      </c>
      <c r="N86" s="315"/>
      <c r="O86" s="24"/>
      <c r="P86" s="24"/>
      <c r="Q86" s="22"/>
      <c r="R86" s="22"/>
      <c r="S86" s="22"/>
      <c r="T86" s="22"/>
      <c r="U86" s="22"/>
      <c r="V86" s="22"/>
      <c r="W86" s="22"/>
      <c r="X86" s="22"/>
      <c r="Y86" s="22"/>
      <c r="Z86" s="22"/>
      <c r="AA86" s="22"/>
      <c r="AB86" s="22"/>
      <c r="AC86" s="22"/>
      <c r="AD86" s="22"/>
      <c r="AE86" s="22"/>
      <c r="AF86" s="22"/>
      <c r="AG86" s="22"/>
      <c r="AH86" s="22"/>
      <c r="AI86" s="22"/>
      <c r="AJ86" s="22"/>
      <c r="AK86" s="22"/>
      <c r="AL86" s="22"/>
      <c r="AM86" s="22"/>
      <c r="AN86" s="22"/>
      <c r="AO86" s="22"/>
      <c r="AP86" s="22"/>
      <c r="AQ86" s="22"/>
      <c r="AR86" s="22"/>
      <c r="AS86" s="22"/>
      <c r="AT86" s="22"/>
      <c r="AU86" s="22"/>
      <c r="AV86" s="22"/>
      <c r="AW86" s="22"/>
      <c r="AX86" s="22"/>
      <c r="AY86" s="22"/>
      <c r="AZ86" s="22"/>
      <c r="BA86" s="22"/>
      <c r="BB86" s="22"/>
      <c r="BC86" s="22"/>
      <c r="BD86" s="22"/>
      <c r="BE86" s="22"/>
      <c r="BF86" s="22"/>
      <c r="BG86" s="22"/>
      <c r="BH86" s="22"/>
      <c r="BI86" s="22"/>
      <c r="BJ86" s="22"/>
      <c r="BK86" s="22"/>
      <c r="BL86" s="22"/>
      <c r="BM86" s="22"/>
      <c r="BN86" s="22"/>
      <c r="BO86" s="22"/>
      <c r="BP86" s="22"/>
      <c r="BQ86" s="22"/>
      <c r="BR86" s="22"/>
      <c r="BS86" s="22"/>
      <c r="BT86" s="22"/>
    </row>
    <row r="87" spans="1:72" s="23" customFormat="1" ht="54.75" customHeight="1" outlineLevel="1" x14ac:dyDescent="0.25">
      <c r="A87" s="333" t="s">
        <v>319</v>
      </c>
      <c r="B87" s="54"/>
      <c r="C87" s="420" t="s">
        <v>195</v>
      </c>
      <c r="D87" s="313">
        <v>0.04</v>
      </c>
      <c r="E87" s="313" t="s">
        <v>27</v>
      </c>
      <c r="F87" s="319"/>
      <c r="G87" s="123">
        <f>G86</f>
        <v>693.6</v>
      </c>
      <c r="H87" s="124">
        <f>H88*$G88/$G87</f>
        <v>0</v>
      </c>
      <c r="I87" s="134"/>
      <c r="J87" s="128">
        <f>H87+I87</f>
        <v>0</v>
      </c>
      <c r="K87" s="129">
        <f>G87*H87</f>
        <v>0</v>
      </c>
      <c r="L87" s="130">
        <f>G87*I87</f>
        <v>0</v>
      </c>
      <c r="M87" s="128">
        <f>L87+K87</f>
        <v>0</v>
      </c>
      <c r="N87" s="55"/>
      <c r="O87" s="25"/>
      <c r="P87" s="21"/>
      <c r="Q87" s="22"/>
      <c r="R87" s="22"/>
      <c r="S87" s="22"/>
      <c r="T87" s="22"/>
      <c r="U87" s="22"/>
      <c r="V87" s="22"/>
      <c r="W87" s="22"/>
      <c r="X87" s="22"/>
      <c r="Y87" s="22"/>
      <c r="Z87" s="22"/>
      <c r="AA87" s="22"/>
      <c r="AB87" s="22"/>
      <c r="AC87" s="22"/>
      <c r="AD87" s="22"/>
      <c r="AE87" s="22"/>
      <c r="AF87" s="22"/>
      <c r="AG87" s="22"/>
      <c r="AH87" s="22"/>
      <c r="AI87" s="22"/>
      <c r="AJ87" s="22"/>
      <c r="AK87" s="22"/>
      <c r="AL87" s="22"/>
      <c r="AM87" s="22"/>
      <c r="AN87" s="22"/>
      <c r="AO87" s="22"/>
      <c r="AP87" s="22"/>
      <c r="AQ87" s="22"/>
      <c r="AR87" s="22"/>
      <c r="AS87" s="22"/>
      <c r="AT87" s="22"/>
      <c r="AU87" s="22"/>
      <c r="AV87" s="22"/>
      <c r="AW87" s="22"/>
      <c r="AX87" s="22"/>
      <c r="AY87" s="22"/>
      <c r="AZ87" s="22"/>
      <c r="BA87" s="22"/>
      <c r="BB87" s="22"/>
      <c r="BC87" s="22"/>
      <c r="BD87" s="22"/>
      <c r="BE87" s="22"/>
      <c r="BF87" s="22"/>
      <c r="BG87" s="22"/>
      <c r="BH87" s="22"/>
      <c r="BI87" s="22"/>
      <c r="BJ87" s="22"/>
      <c r="BK87" s="22"/>
      <c r="BL87" s="22"/>
      <c r="BM87" s="22"/>
      <c r="BN87" s="22"/>
      <c r="BO87" s="22"/>
      <c r="BP87" s="22"/>
      <c r="BQ87" s="22"/>
      <c r="BR87" s="22"/>
      <c r="BS87" s="22"/>
      <c r="BT87" s="22"/>
    </row>
    <row r="88" spans="1:72" s="23" customFormat="1" ht="42.75" customHeight="1" outlineLevel="1" x14ac:dyDescent="0.25">
      <c r="A88" s="334" t="s">
        <v>311</v>
      </c>
      <c r="B88" s="56"/>
      <c r="C88" s="316" t="s">
        <v>196</v>
      </c>
      <c r="D88" s="317"/>
      <c r="E88" s="317" t="s">
        <v>33</v>
      </c>
      <c r="F88" s="320">
        <v>9.4299999999999995E-2</v>
      </c>
      <c r="G88" s="125">
        <f>G87*F88</f>
        <v>65.41</v>
      </c>
      <c r="H88" s="126"/>
      <c r="I88" s="133"/>
      <c r="J88" s="131"/>
      <c r="K88" s="132"/>
      <c r="L88" s="133"/>
      <c r="M88" s="131"/>
      <c r="N88" s="57"/>
      <c r="O88" s="25"/>
      <c r="P88" s="21"/>
      <c r="Q88" s="22"/>
      <c r="R88" s="22"/>
      <c r="S88" s="22"/>
      <c r="T88" s="22"/>
      <c r="U88" s="22"/>
      <c r="V88" s="22"/>
      <c r="W88" s="22"/>
      <c r="X88" s="22"/>
      <c r="Y88" s="22"/>
      <c r="Z88" s="22"/>
      <c r="AA88" s="22"/>
      <c r="AB88" s="22"/>
      <c r="AC88" s="22"/>
      <c r="AD88" s="22"/>
      <c r="AE88" s="22"/>
      <c r="AF88" s="22"/>
      <c r="AG88" s="22"/>
      <c r="AH88" s="22"/>
      <c r="AI88" s="22"/>
      <c r="AJ88" s="22"/>
      <c r="AK88" s="22"/>
      <c r="AL88" s="22"/>
      <c r="AM88" s="22"/>
      <c r="AN88" s="22"/>
      <c r="AO88" s="22"/>
      <c r="AP88" s="22"/>
      <c r="AQ88" s="22"/>
      <c r="AR88" s="22"/>
      <c r="AS88" s="22"/>
      <c r="AT88" s="22"/>
      <c r="AU88" s="22"/>
      <c r="AV88" s="22"/>
      <c r="AW88" s="22"/>
      <c r="AX88" s="22"/>
      <c r="AY88" s="22"/>
      <c r="AZ88" s="22"/>
      <c r="BA88" s="22"/>
      <c r="BB88" s="22"/>
      <c r="BC88" s="22"/>
      <c r="BD88" s="22"/>
      <c r="BE88" s="22"/>
      <c r="BF88" s="22"/>
      <c r="BG88" s="22"/>
      <c r="BH88" s="22"/>
      <c r="BI88" s="22"/>
      <c r="BJ88" s="22"/>
      <c r="BK88" s="22"/>
      <c r="BL88" s="22"/>
      <c r="BM88" s="22"/>
      <c r="BN88" s="22"/>
      <c r="BO88" s="22"/>
      <c r="BP88" s="22"/>
      <c r="BQ88" s="22"/>
      <c r="BR88" s="22"/>
      <c r="BS88" s="22"/>
      <c r="BT88" s="22"/>
    </row>
    <row r="89" spans="1:72" s="23" customFormat="1" ht="27" customHeight="1" x14ac:dyDescent="0.25">
      <c r="A89" s="368" t="s">
        <v>230</v>
      </c>
      <c r="B89" s="257"/>
      <c r="C89" s="258" t="s">
        <v>40</v>
      </c>
      <c r="D89" s="259"/>
      <c r="E89" s="259"/>
      <c r="F89" s="259"/>
      <c r="G89" s="355"/>
      <c r="H89" s="260"/>
      <c r="I89" s="261"/>
      <c r="J89" s="262"/>
      <c r="K89" s="263">
        <f>SUM(K90:K99)</f>
        <v>0</v>
      </c>
      <c r="L89" s="264">
        <f>SUM(L90:L99)</f>
        <v>0</v>
      </c>
      <c r="M89" s="265">
        <f>L89+K89</f>
        <v>0</v>
      </c>
      <c r="N89" s="315"/>
      <c r="O89" s="21"/>
      <c r="P89" s="21"/>
      <c r="Q89" s="22"/>
      <c r="R89" s="22"/>
      <c r="S89" s="22"/>
      <c r="T89" s="22"/>
      <c r="U89" s="22"/>
      <c r="V89" s="22"/>
      <c r="W89" s="22"/>
      <c r="X89" s="22"/>
      <c r="Y89" s="22"/>
      <c r="Z89" s="22"/>
      <c r="AA89" s="22"/>
      <c r="AB89" s="22"/>
      <c r="AC89" s="22"/>
      <c r="AD89" s="22"/>
      <c r="AE89" s="22"/>
      <c r="AF89" s="22"/>
      <c r="AG89" s="22"/>
      <c r="AH89" s="22"/>
      <c r="AI89" s="22"/>
      <c r="AJ89" s="22"/>
      <c r="AK89" s="22"/>
      <c r="AL89" s="22"/>
      <c r="AM89" s="22"/>
      <c r="AN89" s="22"/>
      <c r="AO89" s="22"/>
      <c r="AP89" s="22"/>
      <c r="AQ89" s="22"/>
      <c r="AR89" s="22"/>
      <c r="AS89" s="22"/>
      <c r="AT89" s="22"/>
      <c r="AU89" s="22"/>
      <c r="AV89" s="22"/>
      <c r="AW89" s="22"/>
      <c r="AX89" s="22"/>
      <c r="AY89" s="22"/>
      <c r="AZ89" s="22"/>
      <c r="BA89" s="22"/>
      <c r="BB89" s="22"/>
      <c r="BC89" s="22"/>
      <c r="BD89" s="22"/>
      <c r="BE89" s="22"/>
      <c r="BF89" s="22"/>
      <c r="BG89" s="22"/>
      <c r="BH89" s="22"/>
      <c r="BI89" s="22"/>
      <c r="BJ89" s="22"/>
      <c r="BK89" s="22"/>
      <c r="BL89" s="22"/>
      <c r="BM89" s="22"/>
      <c r="BN89" s="22"/>
      <c r="BO89" s="22"/>
      <c r="BP89" s="22"/>
      <c r="BQ89" s="22"/>
      <c r="BR89" s="22"/>
      <c r="BS89" s="22"/>
      <c r="BT89" s="22"/>
    </row>
    <row r="90" spans="1:72" s="229" customFormat="1" ht="28.5" customHeight="1" outlineLevel="1" x14ac:dyDescent="0.2">
      <c r="A90" s="479" t="s">
        <v>323</v>
      </c>
      <c r="B90" s="335"/>
      <c r="C90" s="336" t="s">
        <v>41</v>
      </c>
      <c r="D90" s="337"/>
      <c r="E90" s="337" t="s">
        <v>166</v>
      </c>
      <c r="F90" s="337"/>
      <c r="G90" s="356">
        <v>33.299999999999997</v>
      </c>
      <c r="H90" s="124">
        <f>H91*$G91/$G90</f>
        <v>0</v>
      </c>
      <c r="I90" s="358"/>
      <c r="J90" s="304">
        <f>H90+I90</f>
        <v>0</v>
      </c>
      <c r="K90" s="305">
        <f>$G90*H90</f>
        <v>0</v>
      </c>
      <c r="L90" s="306">
        <f>$G90*I90</f>
        <v>0</v>
      </c>
      <c r="M90" s="307">
        <f>K90+L90</f>
        <v>0</v>
      </c>
      <c r="N90" s="354"/>
      <c r="O90" s="21"/>
      <c r="P90" s="16"/>
      <c r="Q90" s="226"/>
      <c r="R90" s="226"/>
      <c r="S90" s="226"/>
      <c r="T90" s="226"/>
      <c r="U90" s="226"/>
      <c r="V90" s="226"/>
      <c r="W90" s="226"/>
      <c r="X90" s="226"/>
      <c r="Y90" s="226"/>
      <c r="Z90" s="226"/>
      <c r="AA90" s="226"/>
      <c r="AB90" s="226"/>
      <c r="AC90" s="226"/>
      <c r="AD90" s="226"/>
      <c r="AE90" s="226"/>
      <c r="AF90" s="226"/>
      <c r="AG90" s="226"/>
      <c r="AH90" s="226"/>
      <c r="AI90" s="226"/>
      <c r="AJ90" s="226"/>
      <c r="AK90" s="226"/>
      <c r="AL90" s="226"/>
      <c r="AM90" s="226"/>
      <c r="AN90" s="226"/>
      <c r="AO90" s="226"/>
      <c r="AP90" s="226"/>
      <c r="AQ90" s="226"/>
      <c r="AR90" s="226"/>
      <c r="AS90" s="226"/>
      <c r="AT90" s="226"/>
      <c r="AU90" s="226"/>
      <c r="AV90" s="226"/>
      <c r="AW90" s="226"/>
      <c r="AX90" s="226"/>
      <c r="AY90" s="226"/>
      <c r="AZ90" s="226"/>
      <c r="BA90" s="226"/>
      <c r="BB90" s="226"/>
      <c r="BC90" s="226"/>
      <c r="BD90" s="226"/>
      <c r="BE90" s="226"/>
      <c r="BF90" s="226"/>
      <c r="BG90" s="226"/>
      <c r="BH90" s="226"/>
      <c r="BI90" s="226"/>
      <c r="BJ90" s="226"/>
      <c r="BK90" s="226"/>
      <c r="BL90" s="226"/>
      <c r="BM90" s="226"/>
      <c r="BN90" s="226"/>
      <c r="BO90" s="226"/>
      <c r="BP90" s="226"/>
      <c r="BQ90" s="226"/>
      <c r="BR90" s="226"/>
      <c r="BS90" s="226"/>
      <c r="BT90" s="226"/>
    </row>
    <row r="91" spans="1:72" s="229" customFormat="1" ht="27.95" customHeight="1" outlineLevel="1" x14ac:dyDescent="0.25">
      <c r="A91" s="360" t="s">
        <v>331</v>
      </c>
      <c r="B91" s="367" t="s">
        <v>42</v>
      </c>
      <c r="C91" s="340" t="s">
        <v>43</v>
      </c>
      <c r="D91" s="341"/>
      <c r="E91" s="342" t="s">
        <v>166</v>
      </c>
      <c r="F91" s="343"/>
      <c r="G91" s="344">
        <f>G90</f>
        <v>33.299999999999997</v>
      </c>
      <c r="H91" s="357"/>
      <c r="I91" s="361"/>
      <c r="J91" s="362"/>
      <c r="K91" s="363"/>
      <c r="L91" s="364"/>
      <c r="M91" s="362"/>
      <c r="N91" s="366"/>
      <c r="O91" s="16"/>
      <c r="P91" s="16"/>
      <c r="Q91" s="226"/>
      <c r="R91" s="226"/>
      <c r="S91" s="226"/>
      <c r="T91" s="226"/>
      <c r="U91" s="226"/>
      <c r="V91" s="226"/>
      <c r="W91" s="226"/>
      <c r="X91" s="226"/>
      <c r="Y91" s="226"/>
      <c r="Z91" s="226"/>
      <c r="AA91" s="226"/>
      <c r="AB91" s="226"/>
      <c r="AC91" s="226"/>
      <c r="AD91" s="226"/>
      <c r="AE91" s="226"/>
      <c r="AF91" s="226"/>
      <c r="AG91" s="226"/>
      <c r="AH91" s="226"/>
      <c r="AI91" s="226"/>
      <c r="AJ91" s="226"/>
      <c r="AK91" s="226"/>
      <c r="AL91" s="226"/>
      <c r="AM91" s="226"/>
      <c r="AN91" s="226"/>
      <c r="AO91" s="226"/>
      <c r="AP91" s="226"/>
      <c r="AQ91" s="226"/>
      <c r="AR91" s="226"/>
      <c r="AS91" s="226"/>
      <c r="AT91" s="226"/>
      <c r="AU91" s="226"/>
      <c r="AV91" s="226"/>
      <c r="AW91" s="226"/>
      <c r="AX91" s="226"/>
      <c r="AY91" s="226"/>
      <c r="AZ91" s="226"/>
      <c r="BA91" s="226"/>
      <c r="BB91" s="226"/>
      <c r="BC91" s="226"/>
      <c r="BD91" s="226"/>
      <c r="BE91" s="226"/>
      <c r="BF91" s="226"/>
      <c r="BG91" s="226"/>
      <c r="BH91" s="226"/>
      <c r="BI91" s="226"/>
      <c r="BJ91" s="226"/>
      <c r="BK91" s="226"/>
      <c r="BL91" s="226"/>
      <c r="BM91" s="226"/>
      <c r="BN91" s="226"/>
      <c r="BO91" s="226"/>
      <c r="BP91" s="226"/>
      <c r="BQ91" s="226"/>
      <c r="BR91" s="226"/>
      <c r="BS91" s="226"/>
      <c r="BT91" s="226"/>
    </row>
    <row r="92" spans="1:72" s="229" customFormat="1" ht="28.5" customHeight="1" outlineLevel="1" x14ac:dyDescent="0.2">
      <c r="A92" s="479" t="s">
        <v>330</v>
      </c>
      <c r="B92" s="335"/>
      <c r="C92" s="336" t="s">
        <v>205</v>
      </c>
      <c r="D92" s="337"/>
      <c r="E92" s="337" t="s">
        <v>166</v>
      </c>
      <c r="F92" s="337"/>
      <c r="G92" s="356">
        <v>269</v>
      </c>
      <c r="H92" s="124">
        <f>H93*$G93/$G92</f>
        <v>0</v>
      </c>
      <c r="I92" s="358"/>
      <c r="J92" s="304">
        <f>H92+I92</f>
        <v>0</v>
      </c>
      <c r="K92" s="305">
        <f>$G92*H92</f>
        <v>0</v>
      </c>
      <c r="L92" s="306">
        <f>$G92*I92</f>
        <v>0</v>
      </c>
      <c r="M92" s="307">
        <f>K92+L92</f>
        <v>0</v>
      </c>
      <c r="N92" s="354"/>
      <c r="O92" s="21"/>
      <c r="P92" s="16"/>
      <c r="Q92" s="226"/>
      <c r="R92" s="226"/>
      <c r="S92" s="226"/>
      <c r="T92" s="226"/>
      <c r="U92" s="226"/>
      <c r="V92" s="226"/>
      <c r="W92" s="226"/>
      <c r="X92" s="226"/>
      <c r="Y92" s="226"/>
      <c r="Z92" s="226"/>
      <c r="AA92" s="226"/>
      <c r="AB92" s="226"/>
      <c r="AC92" s="226"/>
      <c r="AD92" s="226"/>
      <c r="AE92" s="226"/>
      <c r="AF92" s="226"/>
      <c r="AG92" s="226"/>
      <c r="AH92" s="226"/>
      <c r="AI92" s="226"/>
      <c r="AJ92" s="226"/>
      <c r="AK92" s="226"/>
      <c r="AL92" s="226"/>
      <c r="AM92" s="226"/>
      <c r="AN92" s="226"/>
      <c r="AO92" s="226"/>
      <c r="AP92" s="226"/>
      <c r="AQ92" s="226"/>
      <c r="AR92" s="226"/>
      <c r="AS92" s="226"/>
      <c r="AT92" s="226"/>
      <c r="AU92" s="226"/>
      <c r="AV92" s="226"/>
      <c r="AW92" s="226"/>
      <c r="AX92" s="226"/>
      <c r="AY92" s="226"/>
      <c r="AZ92" s="226"/>
      <c r="BA92" s="226"/>
      <c r="BB92" s="226"/>
      <c r="BC92" s="226"/>
      <c r="BD92" s="226"/>
      <c r="BE92" s="226"/>
      <c r="BF92" s="226"/>
      <c r="BG92" s="226"/>
      <c r="BH92" s="226"/>
      <c r="BI92" s="226"/>
      <c r="BJ92" s="226"/>
      <c r="BK92" s="226"/>
      <c r="BL92" s="226"/>
      <c r="BM92" s="226"/>
      <c r="BN92" s="226"/>
      <c r="BO92" s="226"/>
      <c r="BP92" s="226"/>
      <c r="BQ92" s="226"/>
      <c r="BR92" s="226"/>
      <c r="BS92" s="226"/>
      <c r="BT92" s="226"/>
    </row>
    <row r="93" spans="1:72" s="229" customFormat="1" ht="27.95" customHeight="1" outlineLevel="1" x14ac:dyDescent="0.25">
      <c r="A93" s="360" t="s">
        <v>332</v>
      </c>
      <c r="B93" s="367" t="s">
        <v>281</v>
      </c>
      <c r="C93" s="340" t="s">
        <v>206</v>
      </c>
      <c r="D93" s="341"/>
      <c r="E93" s="342" t="s">
        <v>166</v>
      </c>
      <c r="F93" s="343"/>
      <c r="G93" s="344">
        <f>G92</f>
        <v>269</v>
      </c>
      <c r="H93" s="357"/>
      <c r="I93" s="361"/>
      <c r="J93" s="362"/>
      <c r="K93" s="363"/>
      <c r="L93" s="364"/>
      <c r="M93" s="362"/>
      <c r="N93" s="366"/>
      <c r="O93" s="16"/>
      <c r="P93" s="16"/>
      <c r="Q93" s="226"/>
      <c r="R93" s="226"/>
      <c r="S93" s="226"/>
      <c r="T93" s="226"/>
      <c r="U93" s="226"/>
      <c r="V93" s="226"/>
      <c r="W93" s="226"/>
      <c r="X93" s="226"/>
      <c r="Y93" s="226"/>
      <c r="Z93" s="226"/>
      <c r="AA93" s="226"/>
      <c r="AB93" s="226"/>
      <c r="AC93" s="226"/>
      <c r="AD93" s="226"/>
      <c r="AE93" s="226"/>
      <c r="AF93" s="226"/>
      <c r="AG93" s="226"/>
      <c r="AH93" s="226"/>
      <c r="AI93" s="226"/>
      <c r="AJ93" s="226"/>
      <c r="AK93" s="226"/>
      <c r="AL93" s="226"/>
      <c r="AM93" s="226"/>
      <c r="AN93" s="226"/>
      <c r="AO93" s="226"/>
      <c r="AP93" s="226"/>
      <c r="AQ93" s="226"/>
      <c r="AR93" s="226"/>
      <c r="AS93" s="226"/>
      <c r="AT93" s="226"/>
      <c r="AU93" s="226"/>
      <c r="AV93" s="226"/>
      <c r="AW93" s="226"/>
      <c r="AX93" s="226"/>
      <c r="AY93" s="226"/>
      <c r="AZ93" s="226"/>
      <c r="BA93" s="226"/>
      <c r="BB93" s="226"/>
      <c r="BC93" s="226"/>
      <c r="BD93" s="226"/>
      <c r="BE93" s="226"/>
      <c r="BF93" s="226"/>
      <c r="BG93" s="226"/>
      <c r="BH93" s="226"/>
      <c r="BI93" s="226"/>
      <c r="BJ93" s="226"/>
      <c r="BK93" s="226"/>
      <c r="BL93" s="226"/>
      <c r="BM93" s="226"/>
      <c r="BN93" s="226"/>
      <c r="BO93" s="226"/>
      <c r="BP93" s="226"/>
      <c r="BQ93" s="226"/>
      <c r="BR93" s="226"/>
      <c r="BS93" s="226"/>
      <c r="BT93" s="226"/>
    </row>
    <row r="94" spans="1:72" s="229" customFormat="1" ht="27.95" customHeight="1" outlineLevel="1" x14ac:dyDescent="0.2">
      <c r="A94" s="479" t="s">
        <v>333</v>
      </c>
      <c r="B94" s="413"/>
      <c r="C94" s="336" t="s">
        <v>203</v>
      </c>
      <c r="D94" s="341"/>
      <c r="E94" s="337" t="s">
        <v>166</v>
      </c>
      <c r="F94" s="343"/>
      <c r="G94" s="356">
        <v>111.1</v>
      </c>
      <c r="H94" s="124">
        <f>H95*$G95/$G94</f>
        <v>0</v>
      </c>
      <c r="I94" s="358"/>
      <c r="J94" s="304">
        <f>H94+I94</f>
        <v>0</v>
      </c>
      <c r="K94" s="305">
        <f>$G94*H94</f>
        <v>0</v>
      </c>
      <c r="L94" s="306">
        <f>$G94*I94</f>
        <v>0</v>
      </c>
      <c r="M94" s="307">
        <f>K94+L94</f>
        <v>0</v>
      </c>
      <c r="N94" s="61"/>
      <c r="O94" s="21"/>
      <c r="P94" s="16"/>
      <c r="Q94" s="226"/>
      <c r="R94" s="226"/>
      <c r="S94" s="226"/>
      <c r="T94" s="226"/>
      <c r="U94" s="226"/>
      <c r="V94" s="226"/>
      <c r="W94" s="226"/>
      <c r="X94" s="226"/>
      <c r="Y94" s="226"/>
      <c r="Z94" s="226"/>
      <c r="AA94" s="226"/>
      <c r="AB94" s="226"/>
      <c r="AC94" s="226"/>
      <c r="AD94" s="226"/>
      <c r="AE94" s="226"/>
      <c r="AF94" s="226"/>
      <c r="AG94" s="226"/>
      <c r="AH94" s="226"/>
      <c r="AI94" s="226"/>
      <c r="AJ94" s="226"/>
      <c r="AK94" s="226"/>
      <c r="AL94" s="226"/>
      <c r="AM94" s="226"/>
      <c r="AN94" s="226"/>
      <c r="AO94" s="226"/>
      <c r="AP94" s="226"/>
      <c r="AQ94" s="226"/>
      <c r="AR94" s="226"/>
      <c r="AS94" s="226"/>
      <c r="AT94" s="226"/>
      <c r="AU94" s="226"/>
      <c r="AV94" s="226"/>
      <c r="AW94" s="226"/>
      <c r="AX94" s="226"/>
      <c r="AY94" s="226"/>
      <c r="AZ94" s="226"/>
      <c r="BA94" s="226"/>
      <c r="BB94" s="226"/>
      <c r="BC94" s="226"/>
      <c r="BD94" s="226"/>
      <c r="BE94" s="226"/>
      <c r="BF94" s="226"/>
      <c r="BG94" s="226"/>
      <c r="BH94" s="226"/>
      <c r="BI94" s="226"/>
      <c r="BJ94" s="226"/>
      <c r="BK94" s="226"/>
      <c r="BL94" s="226"/>
      <c r="BM94" s="226"/>
      <c r="BN94" s="226"/>
      <c r="BO94" s="226"/>
      <c r="BP94" s="226"/>
      <c r="BQ94" s="226"/>
      <c r="BR94" s="226"/>
      <c r="BS94" s="226"/>
      <c r="BT94" s="226"/>
    </row>
    <row r="95" spans="1:72" s="229" customFormat="1" ht="27.95" customHeight="1" outlineLevel="1" x14ac:dyDescent="0.25">
      <c r="A95" s="360" t="s">
        <v>334</v>
      </c>
      <c r="B95" s="367" t="s">
        <v>325</v>
      </c>
      <c r="C95" s="340" t="s">
        <v>204</v>
      </c>
      <c r="D95" s="341"/>
      <c r="E95" s="342" t="s">
        <v>166</v>
      </c>
      <c r="F95" s="343"/>
      <c r="G95" s="344">
        <f>G94</f>
        <v>111.1</v>
      </c>
      <c r="H95" s="357"/>
      <c r="I95" s="361"/>
      <c r="J95" s="362"/>
      <c r="K95" s="363"/>
      <c r="L95" s="364"/>
      <c r="M95" s="362"/>
      <c r="N95" s="61"/>
      <c r="O95" s="16"/>
      <c r="P95" s="16"/>
      <c r="Q95" s="226"/>
      <c r="R95" s="226"/>
      <c r="S95" s="226"/>
      <c r="T95" s="226"/>
      <c r="U95" s="226"/>
      <c r="V95" s="226"/>
      <c r="W95" s="226"/>
      <c r="X95" s="226"/>
      <c r="Y95" s="226"/>
      <c r="Z95" s="226"/>
      <c r="AA95" s="226"/>
      <c r="AB95" s="226"/>
      <c r="AC95" s="226"/>
      <c r="AD95" s="226"/>
      <c r="AE95" s="226"/>
      <c r="AF95" s="226"/>
      <c r="AG95" s="226"/>
      <c r="AH95" s="226"/>
      <c r="AI95" s="226"/>
      <c r="AJ95" s="226"/>
      <c r="AK95" s="226"/>
      <c r="AL95" s="226"/>
      <c r="AM95" s="226"/>
      <c r="AN95" s="226"/>
      <c r="AO95" s="226"/>
      <c r="AP95" s="226"/>
      <c r="AQ95" s="226"/>
      <c r="AR95" s="226"/>
      <c r="AS95" s="226"/>
      <c r="AT95" s="226"/>
      <c r="AU95" s="226"/>
      <c r="AV95" s="226"/>
      <c r="AW95" s="226"/>
      <c r="AX95" s="226"/>
      <c r="AY95" s="226"/>
      <c r="AZ95" s="226"/>
      <c r="BA95" s="226"/>
      <c r="BB95" s="226"/>
      <c r="BC95" s="226"/>
      <c r="BD95" s="226"/>
      <c r="BE95" s="226"/>
      <c r="BF95" s="226"/>
      <c r="BG95" s="226"/>
      <c r="BH95" s="226"/>
      <c r="BI95" s="226"/>
      <c r="BJ95" s="226"/>
      <c r="BK95" s="226"/>
      <c r="BL95" s="226"/>
      <c r="BM95" s="226"/>
      <c r="BN95" s="226"/>
      <c r="BO95" s="226"/>
      <c r="BP95" s="226"/>
      <c r="BQ95" s="226"/>
      <c r="BR95" s="226"/>
      <c r="BS95" s="226"/>
      <c r="BT95" s="226"/>
    </row>
    <row r="96" spans="1:72" s="229" customFormat="1" ht="27.95" customHeight="1" outlineLevel="1" x14ac:dyDescent="0.2">
      <c r="A96" s="333" t="s">
        <v>335</v>
      </c>
      <c r="B96" s="335"/>
      <c r="C96" s="336" t="s">
        <v>90</v>
      </c>
      <c r="D96" s="337"/>
      <c r="E96" s="337" t="s">
        <v>166</v>
      </c>
      <c r="F96" s="337"/>
      <c r="G96" s="338">
        <v>45.4</v>
      </c>
      <c r="H96" s="124">
        <f>H97*$G97/$G96</f>
        <v>0</v>
      </c>
      <c r="I96" s="358"/>
      <c r="J96" s="304">
        <f>H96+I96</f>
        <v>0</v>
      </c>
      <c r="K96" s="305">
        <f>$G96*H96</f>
        <v>0</v>
      </c>
      <c r="L96" s="306">
        <f>$G96*I96</f>
        <v>0</v>
      </c>
      <c r="M96" s="307">
        <f>K96+L96</f>
        <v>0</v>
      </c>
      <c r="N96" s="60"/>
      <c r="O96" s="21"/>
      <c r="P96" s="16"/>
      <c r="Q96" s="226"/>
      <c r="R96" s="226"/>
      <c r="S96" s="226"/>
      <c r="T96" s="226"/>
      <c r="U96" s="226"/>
      <c r="V96" s="226"/>
      <c r="W96" s="226"/>
      <c r="X96" s="226"/>
      <c r="Y96" s="226"/>
      <c r="Z96" s="226"/>
      <c r="AA96" s="226"/>
      <c r="AB96" s="226"/>
      <c r="AC96" s="226"/>
      <c r="AD96" s="226"/>
      <c r="AE96" s="226"/>
      <c r="AF96" s="226"/>
      <c r="AG96" s="226"/>
      <c r="AH96" s="226"/>
      <c r="AI96" s="226"/>
      <c r="AJ96" s="226"/>
      <c r="AK96" s="226"/>
      <c r="AL96" s="226"/>
      <c r="AM96" s="226"/>
      <c r="AN96" s="226"/>
      <c r="AO96" s="226"/>
      <c r="AP96" s="226"/>
      <c r="AQ96" s="226"/>
      <c r="AR96" s="226"/>
      <c r="AS96" s="226"/>
      <c r="AT96" s="226"/>
      <c r="AU96" s="226"/>
      <c r="AV96" s="226"/>
      <c r="AW96" s="226"/>
      <c r="AX96" s="226"/>
      <c r="AY96" s="226"/>
      <c r="AZ96" s="226"/>
      <c r="BA96" s="226"/>
      <c r="BB96" s="226"/>
      <c r="BC96" s="226"/>
      <c r="BD96" s="226"/>
      <c r="BE96" s="226"/>
      <c r="BF96" s="226"/>
      <c r="BG96" s="226"/>
      <c r="BH96" s="226"/>
      <c r="BI96" s="226"/>
      <c r="BJ96" s="226"/>
      <c r="BK96" s="226"/>
      <c r="BL96" s="226"/>
      <c r="BM96" s="226"/>
      <c r="BN96" s="226"/>
      <c r="BO96" s="226"/>
      <c r="BP96" s="226"/>
      <c r="BQ96" s="226"/>
      <c r="BR96" s="226"/>
      <c r="BS96" s="226"/>
      <c r="BT96" s="226"/>
    </row>
    <row r="97" spans="1:72" s="229" customFormat="1" ht="27.95" customHeight="1" outlineLevel="1" x14ac:dyDescent="0.25">
      <c r="A97" s="360" t="s">
        <v>336</v>
      </c>
      <c r="B97" s="339">
        <v>4100001915</v>
      </c>
      <c r="C97" s="340" t="s">
        <v>44</v>
      </c>
      <c r="D97" s="341"/>
      <c r="E97" s="342" t="s">
        <v>166</v>
      </c>
      <c r="F97" s="343"/>
      <c r="G97" s="344">
        <f>G96</f>
        <v>45.4</v>
      </c>
      <c r="H97" s="357"/>
      <c r="I97" s="361"/>
      <c r="J97" s="362"/>
      <c r="K97" s="363"/>
      <c r="L97" s="364"/>
      <c r="M97" s="362"/>
      <c r="N97" s="61"/>
      <c r="O97" s="16"/>
      <c r="P97" s="16"/>
      <c r="Q97" s="226"/>
      <c r="R97" s="226"/>
      <c r="S97" s="226"/>
      <c r="T97" s="226"/>
      <c r="U97" s="226"/>
      <c r="V97" s="226"/>
      <c r="W97" s="226"/>
      <c r="X97" s="226"/>
      <c r="Y97" s="226"/>
      <c r="Z97" s="226"/>
      <c r="AA97" s="226"/>
      <c r="AB97" s="226"/>
      <c r="AC97" s="226"/>
      <c r="AD97" s="226"/>
      <c r="AE97" s="226"/>
      <c r="AF97" s="226"/>
      <c r="AG97" s="226"/>
      <c r="AH97" s="226"/>
      <c r="AI97" s="226"/>
      <c r="AJ97" s="226"/>
      <c r="AK97" s="226"/>
      <c r="AL97" s="226"/>
      <c r="AM97" s="226"/>
      <c r="AN97" s="226"/>
      <c r="AO97" s="226"/>
      <c r="AP97" s="226"/>
      <c r="AQ97" s="226"/>
      <c r="AR97" s="226"/>
      <c r="AS97" s="226"/>
      <c r="AT97" s="226"/>
      <c r="AU97" s="226"/>
      <c r="AV97" s="226"/>
      <c r="AW97" s="226"/>
      <c r="AX97" s="226"/>
      <c r="AY97" s="226"/>
      <c r="AZ97" s="226"/>
      <c r="BA97" s="226"/>
      <c r="BB97" s="226"/>
      <c r="BC97" s="226"/>
      <c r="BD97" s="226"/>
      <c r="BE97" s="226"/>
      <c r="BF97" s="226"/>
      <c r="BG97" s="226"/>
      <c r="BH97" s="226"/>
      <c r="BI97" s="226"/>
      <c r="BJ97" s="226"/>
      <c r="BK97" s="226"/>
      <c r="BL97" s="226"/>
      <c r="BM97" s="226"/>
      <c r="BN97" s="226"/>
      <c r="BO97" s="226"/>
      <c r="BP97" s="226"/>
      <c r="BQ97" s="226"/>
      <c r="BR97" s="226"/>
      <c r="BS97" s="226"/>
      <c r="BT97" s="226"/>
    </row>
    <row r="98" spans="1:72" s="229" customFormat="1" ht="37.5" customHeight="1" outlineLevel="1" x14ac:dyDescent="0.2">
      <c r="A98" s="333" t="s">
        <v>337</v>
      </c>
      <c r="B98" s="335"/>
      <c r="C98" s="336" t="s">
        <v>45</v>
      </c>
      <c r="D98" s="337"/>
      <c r="E98" s="337" t="s">
        <v>166</v>
      </c>
      <c r="F98" s="337"/>
      <c r="G98" s="338">
        <v>91.3</v>
      </c>
      <c r="H98" s="124">
        <f>H99*$G99/$G98</f>
        <v>0</v>
      </c>
      <c r="I98" s="358"/>
      <c r="J98" s="304">
        <f>H98+I98</f>
        <v>0</v>
      </c>
      <c r="K98" s="305">
        <f>$G98*H98</f>
        <v>0</v>
      </c>
      <c r="L98" s="306">
        <f>$G98*I98</f>
        <v>0</v>
      </c>
      <c r="M98" s="307">
        <f>K98+L98</f>
        <v>0</v>
      </c>
      <c r="N98" s="354"/>
      <c r="O98" s="21"/>
      <c r="P98" s="16"/>
      <c r="Q98" s="226"/>
      <c r="R98" s="226"/>
      <c r="S98" s="226"/>
      <c r="T98" s="226"/>
      <c r="U98" s="226"/>
      <c r="V98" s="226"/>
      <c r="W98" s="226"/>
      <c r="X98" s="226"/>
      <c r="Y98" s="226"/>
      <c r="Z98" s="226"/>
      <c r="AA98" s="226"/>
      <c r="AB98" s="226"/>
      <c r="AC98" s="226"/>
      <c r="AD98" s="226"/>
      <c r="AE98" s="226"/>
      <c r="AF98" s="226"/>
      <c r="AG98" s="226"/>
      <c r="AH98" s="226"/>
      <c r="AI98" s="226"/>
      <c r="AJ98" s="226"/>
      <c r="AK98" s="226"/>
      <c r="AL98" s="226"/>
      <c r="AM98" s="226"/>
      <c r="AN98" s="226"/>
      <c r="AO98" s="226"/>
      <c r="AP98" s="226"/>
      <c r="AQ98" s="226"/>
      <c r="AR98" s="226"/>
      <c r="AS98" s="226"/>
      <c r="AT98" s="226"/>
      <c r="AU98" s="226"/>
      <c r="AV98" s="226"/>
      <c r="AW98" s="226"/>
      <c r="AX98" s="226"/>
      <c r="AY98" s="226"/>
      <c r="AZ98" s="226"/>
      <c r="BA98" s="226"/>
      <c r="BB98" s="226"/>
      <c r="BC98" s="226"/>
      <c r="BD98" s="226"/>
      <c r="BE98" s="226"/>
      <c r="BF98" s="226"/>
      <c r="BG98" s="226"/>
      <c r="BH98" s="226"/>
      <c r="BI98" s="226"/>
      <c r="BJ98" s="226"/>
      <c r="BK98" s="226"/>
      <c r="BL98" s="226"/>
      <c r="BM98" s="226"/>
      <c r="BN98" s="226"/>
      <c r="BO98" s="226"/>
      <c r="BP98" s="226"/>
      <c r="BQ98" s="226"/>
      <c r="BR98" s="226"/>
      <c r="BS98" s="226"/>
      <c r="BT98" s="226"/>
    </row>
    <row r="99" spans="1:72" s="229" customFormat="1" ht="27.95" customHeight="1" outlineLevel="1" x14ac:dyDescent="0.25">
      <c r="A99" s="360" t="s">
        <v>338</v>
      </c>
      <c r="B99" s="365">
        <v>4100001913</v>
      </c>
      <c r="C99" s="340" t="s">
        <v>46</v>
      </c>
      <c r="D99" s="341"/>
      <c r="E99" s="342" t="s">
        <v>166</v>
      </c>
      <c r="F99" s="343"/>
      <c r="G99" s="344">
        <f>G98</f>
        <v>91.3</v>
      </c>
      <c r="H99" s="357"/>
      <c r="I99" s="361"/>
      <c r="J99" s="362"/>
      <c r="K99" s="363"/>
      <c r="L99" s="364"/>
      <c r="M99" s="362"/>
      <c r="N99" s="366"/>
      <c r="O99" s="16"/>
      <c r="P99" s="16"/>
      <c r="Q99" s="226"/>
      <c r="R99" s="226"/>
      <c r="S99" s="226"/>
      <c r="T99" s="226"/>
      <c r="U99" s="226"/>
      <c r="V99" s="226"/>
      <c r="W99" s="226"/>
      <c r="X99" s="226"/>
      <c r="Y99" s="226"/>
      <c r="Z99" s="226"/>
      <c r="AA99" s="226"/>
      <c r="AB99" s="226"/>
      <c r="AC99" s="226"/>
      <c r="AD99" s="226"/>
      <c r="AE99" s="226"/>
      <c r="AF99" s="226"/>
      <c r="AG99" s="226"/>
      <c r="AH99" s="226"/>
      <c r="AI99" s="226"/>
      <c r="AJ99" s="226"/>
      <c r="AK99" s="226"/>
      <c r="AL99" s="226"/>
      <c r="AM99" s="226"/>
      <c r="AN99" s="226"/>
      <c r="AO99" s="226"/>
      <c r="AP99" s="226"/>
      <c r="AQ99" s="226"/>
      <c r="AR99" s="226"/>
      <c r="AS99" s="226"/>
      <c r="AT99" s="226"/>
      <c r="AU99" s="226"/>
      <c r="AV99" s="226"/>
      <c r="AW99" s="226"/>
      <c r="AX99" s="226"/>
      <c r="AY99" s="226"/>
      <c r="AZ99" s="226"/>
      <c r="BA99" s="226"/>
      <c r="BB99" s="226"/>
      <c r="BC99" s="226"/>
      <c r="BD99" s="226"/>
      <c r="BE99" s="226"/>
      <c r="BF99" s="226"/>
      <c r="BG99" s="226"/>
      <c r="BH99" s="226"/>
      <c r="BI99" s="226"/>
      <c r="BJ99" s="226"/>
      <c r="BK99" s="226"/>
      <c r="BL99" s="226"/>
      <c r="BM99" s="226"/>
      <c r="BN99" s="226"/>
      <c r="BO99" s="226"/>
      <c r="BP99" s="226"/>
      <c r="BQ99" s="226"/>
      <c r="BR99" s="226"/>
      <c r="BS99" s="226"/>
      <c r="BT99" s="226"/>
    </row>
    <row r="100" spans="1:72" s="23" customFormat="1" ht="27" customHeight="1" x14ac:dyDescent="0.25">
      <c r="A100" s="278" t="s">
        <v>231</v>
      </c>
      <c r="B100" s="292"/>
      <c r="C100" s="258" t="s">
        <v>47</v>
      </c>
      <c r="D100" s="259">
        <f>D101</f>
        <v>0.2</v>
      </c>
      <c r="E100" s="259" t="s">
        <v>27</v>
      </c>
      <c r="F100" s="259"/>
      <c r="G100" s="314">
        <v>1218</v>
      </c>
      <c r="H100" s="260"/>
      <c r="I100" s="261"/>
      <c r="J100" s="262"/>
      <c r="K100" s="263">
        <f>SUM(K101)</f>
        <v>0</v>
      </c>
      <c r="L100" s="264">
        <f>SUM(L101)</f>
        <v>0</v>
      </c>
      <c r="M100" s="265">
        <f>L100+K100</f>
        <v>0</v>
      </c>
      <c r="N100" s="59"/>
      <c r="O100" s="21"/>
      <c r="P100" s="21"/>
      <c r="Q100" s="22"/>
      <c r="R100" s="22"/>
      <c r="S100" s="22"/>
      <c r="T100" s="22"/>
      <c r="U100" s="22"/>
      <c r="V100" s="22"/>
      <c r="W100" s="22"/>
      <c r="X100" s="22"/>
      <c r="Y100" s="22"/>
      <c r="Z100" s="22"/>
      <c r="AA100" s="22"/>
      <c r="AB100" s="22"/>
      <c r="AC100" s="22"/>
      <c r="AD100" s="22"/>
      <c r="AE100" s="22"/>
      <c r="AF100" s="22"/>
      <c r="AG100" s="22"/>
      <c r="AH100" s="22"/>
      <c r="AI100" s="22"/>
      <c r="AJ100" s="22"/>
      <c r="AK100" s="22"/>
      <c r="AL100" s="22"/>
      <c r="AM100" s="22"/>
      <c r="AN100" s="22"/>
      <c r="AO100" s="22"/>
      <c r="AP100" s="22"/>
      <c r="AQ100" s="22"/>
      <c r="AR100" s="22"/>
      <c r="AS100" s="22"/>
      <c r="AT100" s="22"/>
      <c r="AU100" s="22"/>
      <c r="AV100" s="22"/>
      <c r="AW100" s="22"/>
      <c r="AX100" s="22"/>
      <c r="AY100" s="22"/>
      <c r="AZ100" s="22"/>
      <c r="BA100" s="22"/>
      <c r="BB100" s="22"/>
      <c r="BC100" s="22"/>
      <c r="BD100" s="22"/>
      <c r="BE100" s="22"/>
      <c r="BF100" s="22"/>
      <c r="BG100" s="22"/>
      <c r="BH100" s="22"/>
      <c r="BI100" s="22"/>
      <c r="BJ100" s="22"/>
      <c r="BK100" s="22"/>
      <c r="BL100" s="22"/>
      <c r="BM100" s="22"/>
      <c r="BN100" s="22"/>
      <c r="BO100" s="22"/>
      <c r="BP100" s="22"/>
      <c r="BQ100" s="22"/>
      <c r="BR100" s="22"/>
      <c r="BS100" s="22"/>
      <c r="BT100" s="22"/>
    </row>
    <row r="101" spans="1:72" s="23" customFormat="1" ht="52.5" customHeight="1" outlineLevel="1" x14ac:dyDescent="0.25">
      <c r="A101" s="333" t="s">
        <v>324</v>
      </c>
      <c r="B101" s="412"/>
      <c r="C101" s="370" t="s">
        <v>48</v>
      </c>
      <c r="D101" s="322">
        <v>0.2</v>
      </c>
      <c r="E101" s="322" t="s">
        <v>27</v>
      </c>
      <c r="F101" s="322"/>
      <c r="G101" s="437">
        <f>G100</f>
        <v>1218</v>
      </c>
      <c r="H101" s="498"/>
      <c r="I101" s="499"/>
      <c r="J101" s="500">
        <f>I101+H101</f>
        <v>0</v>
      </c>
      <c r="K101" s="501">
        <f>G101*H101</f>
        <v>0</v>
      </c>
      <c r="L101" s="502">
        <f>I101*G101</f>
        <v>0</v>
      </c>
      <c r="M101" s="500">
        <f>L101+K101</f>
        <v>0</v>
      </c>
      <c r="N101" s="497" t="s">
        <v>377</v>
      </c>
      <c r="O101" s="24"/>
      <c r="P101" s="24"/>
      <c r="Q101" s="22"/>
      <c r="R101" s="22"/>
      <c r="S101" s="22"/>
      <c r="T101" s="22"/>
      <c r="U101" s="22"/>
      <c r="V101" s="22"/>
      <c r="W101" s="22"/>
      <c r="X101" s="22"/>
      <c r="Y101" s="22"/>
      <c r="Z101" s="22"/>
      <c r="AA101" s="22"/>
      <c r="AB101" s="22"/>
      <c r="AC101" s="22"/>
      <c r="AD101" s="22"/>
      <c r="AE101" s="22"/>
      <c r="AF101" s="22"/>
      <c r="AG101" s="22"/>
      <c r="AH101" s="22"/>
      <c r="AI101" s="22"/>
      <c r="AJ101" s="22"/>
      <c r="AK101" s="22"/>
      <c r="AL101" s="22"/>
      <c r="AM101" s="22"/>
      <c r="AN101" s="22"/>
      <c r="AO101" s="22"/>
      <c r="AP101" s="22"/>
      <c r="AQ101" s="22"/>
      <c r="AR101" s="22"/>
      <c r="AS101" s="22"/>
      <c r="AT101" s="22"/>
      <c r="AU101" s="22"/>
      <c r="AV101" s="22"/>
      <c r="AW101" s="22"/>
      <c r="AX101" s="22"/>
      <c r="AY101" s="22"/>
      <c r="AZ101" s="22"/>
      <c r="BA101" s="22"/>
      <c r="BB101" s="22"/>
      <c r="BC101" s="22"/>
      <c r="BD101" s="22"/>
      <c r="BE101" s="22"/>
      <c r="BF101" s="22"/>
      <c r="BG101" s="22"/>
      <c r="BH101" s="22"/>
      <c r="BI101" s="22"/>
      <c r="BJ101" s="22"/>
      <c r="BK101" s="22"/>
      <c r="BL101" s="22"/>
      <c r="BM101" s="22"/>
      <c r="BN101" s="22"/>
      <c r="BO101" s="22"/>
      <c r="BP101" s="22"/>
      <c r="BQ101" s="22"/>
      <c r="BR101" s="22"/>
      <c r="BS101" s="22"/>
      <c r="BT101" s="22"/>
    </row>
    <row r="102" spans="1:72" s="23" customFormat="1" ht="27" customHeight="1" x14ac:dyDescent="0.25">
      <c r="A102" s="278" t="s">
        <v>232</v>
      </c>
      <c r="B102" s="292"/>
      <c r="C102" s="258" t="s">
        <v>49</v>
      </c>
      <c r="D102" s="259"/>
      <c r="E102" s="259"/>
      <c r="F102" s="259"/>
      <c r="G102" s="355"/>
      <c r="H102" s="260"/>
      <c r="I102" s="261"/>
      <c r="J102" s="262"/>
      <c r="K102" s="263">
        <f>SUM(K103:K107)</f>
        <v>0</v>
      </c>
      <c r="L102" s="264">
        <f>SUM(L103:L107)</f>
        <v>0</v>
      </c>
      <c r="M102" s="265">
        <f>L102+K102</f>
        <v>0</v>
      </c>
      <c r="N102" s="59"/>
      <c r="O102" s="21"/>
      <c r="P102" s="21"/>
      <c r="Q102" s="22"/>
      <c r="R102" s="22"/>
      <c r="S102" s="22"/>
      <c r="T102" s="22"/>
      <c r="U102" s="22"/>
      <c r="V102" s="22"/>
      <c r="W102" s="22"/>
      <c r="X102" s="22"/>
      <c r="Y102" s="22"/>
      <c r="Z102" s="22"/>
      <c r="AA102" s="22"/>
      <c r="AB102" s="22"/>
      <c r="AC102" s="22"/>
      <c r="AD102" s="22"/>
      <c r="AE102" s="22"/>
      <c r="AF102" s="22"/>
      <c r="AG102" s="22"/>
      <c r="AH102" s="22"/>
      <c r="AI102" s="22"/>
      <c r="AJ102" s="22"/>
      <c r="AK102" s="22"/>
      <c r="AL102" s="22"/>
      <c r="AM102" s="22"/>
      <c r="AN102" s="22"/>
      <c r="AO102" s="22"/>
      <c r="AP102" s="22"/>
      <c r="AQ102" s="22"/>
      <c r="AR102" s="22"/>
      <c r="AS102" s="22"/>
      <c r="AT102" s="22"/>
      <c r="AU102" s="22"/>
      <c r="AV102" s="22"/>
      <c r="AW102" s="22"/>
      <c r="AX102" s="22"/>
      <c r="AY102" s="22"/>
      <c r="AZ102" s="22"/>
      <c r="BA102" s="22"/>
      <c r="BB102" s="22"/>
      <c r="BC102" s="22"/>
      <c r="BD102" s="22"/>
      <c r="BE102" s="22"/>
      <c r="BF102" s="22"/>
      <c r="BG102" s="22"/>
      <c r="BH102" s="22"/>
      <c r="BI102" s="22"/>
      <c r="BJ102" s="22"/>
      <c r="BK102" s="22"/>
      <c r="BL102" s="22"/>
      <c r="BM102" s="22"/>
      <c r="BN102" s="22"/>
      <c r="BO102" s="22"/>
      <c r="BP102" s="22"/>
      <c r="BQ102" s="22"/>
      <c r="BR102" s="22"/>
      <c r="BS102" s="22"/>
      <c r="BT102" s="22"/>
    </row>
    <row r="103" spans="1:72" s="23" customFormat="1" ht="27.95" customHeight="1" outlineLevel="1" x14ac:dyDescent="0.25">
      <c r="A103" s="333" t="s">
        <v>339</v>
      </c>
      <c r="B103" s="313"/>
      <c r="C103" s="300" t="s">
        <v>37</v>
      </c>
      <c r="D103" s="130"/>
      <c r="E103" s="337" t="s">
        <v>27</v>
      </c>
      <c r="F103" s="337"/>
      <c r="G103" s="356">
        <v>112.4</v>
      </c>
      <c r="H103" s="124">
        <f>H104*$G104/$G103</f>
        <v>0</v>
      </c>
      <c r="I103" s="358"/>
      <c r="J103" s="304">
        <f>H103+I103</f>
        <v>0</v>
      </c>
      <c r="K103" s="305">
        <f>$G103*H103</f>
        <v>0</v>
      </c>
      <c r="L103" s="306">
        <f>$G103*I103</f>
        <v>0</v>
      </c>
      <c r="M103" s="307">
        <f>K103+L103</f>
        <v>0</v>
      </c>
      <c r="N103" s="354"/>
      <c r="O103" s="21"/>
      <c r="P103" s="21"/>
      <c r="Q103" s="22"/>
      <c r="R103" s="22"/>
      <c r="S103" s="22"/>
      <c r="T103" s="22"/>
      <c r="U103" s="22"/>
      <c r="V103" s="22"/>
      <c r="W103" s="22"/>
      <c r="X103" s="22"/>
      <c r="Y103" s="22"/>
      <c r="Z103" s="22"/>
      <c r="AA103" s="22"/>
      <c r="AB103" s="22"/>
      <c r="AC103" s="22"/>
      <c r="AD103" s="22"/>
      <c r="AE103" s="22"/>
      <c r="AF103" s="22"/>
      <c r="AG103" s="22"/>
      <c r="AH103" s="22"/>
      <c r="AI103" s="22"/>
      <c r="AJ103" s="22"/>
      <c r="AK103" s="22"/>
      <c r="AL103" s="22"/>
      <c r="AM103" s="22"/>
      <c r="AN103" s="22"/>
      <c r="AO103" s="22"/>
      <c r="AP103" s="22"/>
      <c r="AQ103" s="22"/>
      <c r="AR103" s="22"/>
      <c r="AS103" s="22"/>
      <c r="AT103" s="22"/>
      <c r="AU103" s="22"/>
      <c r="AV103" s="22"/>
      <c r="AW103" s="22"/>
      <c r="AX103" s="22"/>
      <c r="AY103" s="22"/>
      <c r="AZ103" s="22"/>
      <c r="BA103" s="22"/>
      <c r="BB103" s="22"/>
      <c r="BC103" s="22"/>
      <c r="BD103" s="22"/>
      <c r="BE103" s="22"/>
      <c r="BF103" s="22"/>
      <c r="BG103" s="22"/>
      <c r="BH103" s="22"/>
      <c r="BI103" s="22"/>
      <c r="BJ103" s="22"/>
      <c r="BK103" s="22"/>
      <c r="BL103" s="22"/>
      <c r="BM103" s="22"/>
      <c r="BN103" s="22"/>
      <c r="BO103" s="22"/>
      <c r="BP103" s="22"/>
      <c r="BQ103" s="22"/>
      <c r="BR103" s="22"/>
      <c r="BS103" s="22"/>
      <c r="BT103" s="22"/>
    </row>
    <row r="104" spans="1:72" s="23" customFormat="1" ht="27.95" customHeight="1" outlineLevel="1" x14ac:dyDescent="0.25">
      <c r="A104" s="360" t="s">
        <v>341</v>
      </c>
      <c r="B104" s="323">
        <v>4100009584</v>
      </c>
      <c r="C104" s="324" t="s">
        <v>38</v>
      </c>
      <c r="D104" s="376"/>
      <c r="E104" s="342" t="s">
        <v>27</v>
      </c>
      <c r="F104" s="342">
        <v>1.1000000000000001</v>
      </c>
      <c r="G104" s="344">
        <f>G103*F104</f>
        <v>123.64</v>
      </c>
      <c r="H104" s="357"/>
      <c r="I104" s="361"/>
      <c r="J104" s="362"/>
      <c r="K104" s="363"/>
      <c r="L104" s="364"/>
      <c r="M104" s="362"/>
      <c r="N104" s="377"/>
      <c r="O104" s="21"/>
      <c r="P104" s="21"/>
      <c r="Q104" s="22"/>
      <c r="R104" s="22"/>
      <c r="S104" s="22"/>
      <c r="T104" s="22"/>
      <c r="U104" s="22"/>
      <c r="V104" s="22"/>
      <c r="W104" s="22"/>
      <c r="X104" s="22"/>
      <c r="Y104" s="22"/>
      <c r="Z104" s="22"/>
      <c r="AA104" s="22"/>
      <c r="AB104" s="22"/>
      <c r="AC104" s="22"/>
      <c r="AD104" s="22"/>
      <c r="AE104" s="22"/>
      <c r="AF104" s="22"/>
      <c r="AG104" s="22"/>
      <c r="AH104" s="22"/>
      <c r="AI104" s="22"/>
      <c r="AJ104" s="22"/>
      <c r="AK104" s="22"/>
      <c r="AL104" s="22"/>
      <c r="AM104" s="22"/>
      <c r="AN104" s="22"/>
      <c r="AO104" s="22"/>
      <c r="AP104" s="22"/>
      <c r="AQ104" s="22"/>
      <c r="AR104" s="22"/>
      <c r="AS104" s="22"/>
      <c r="AT104" s="22"/>
      <c r="AU104" s="22"/>
      <c r="AV104" s="22"/>
      <c r="AW104" s="22"/>
      <c r="AX104" s="22"/>
      <c r="AY104" s="22"/>
      <c r="AZ104" s="22"/>
      <c r="BA104" s="22"/>
      <c r="BB104" s="22"/>
      <c r="BC104" s="22"/>
      <c r="BD104" s="22"/>
      <c r="BE104" s="22"/>
      <c r="BF104" s="22"/>
      <c r="BG104" s="22"/>
      <c r="BH104" s="22"/>
      <c r="BI104" s="22"/>
      <c r="BJ104" s="22"/>
      <c r="BK104" s="22"/>
      <c r="BL104" s="22"/>
      <c r="BM104" s="22"/>
      <c r="BN104" s="22"/>
      <c r="BO104" s="22"/>
      <c r="BP104" s="22"/>
      <c r="BQ104" s="22"/>
      <c r="BR104" s="22"/>
      <c r="BS104" s="22"/>
      <c r="BT104" s="22"/>
    </row>
    <row r="105" spans="1:72" s="23" customFormat="1" ht="39.950000000000003" customHeight="1" outlineLevel="1" x14ac:dyDescent="0.25">
      <c r="A105" s="333" t="s">
        <v>342</v>
      </c>
      <c r="B105" s="335"/>
      <c r="C105" s="336" t="s">
        <v>170</v>
      </c>
      <c r="D105" s="337"/>
      <c r="E105" s="337" t="s">
        <v>166</v>
      </c>
      <c r="F105" s="337"/>
      <c r="G105" s="356">
        <v>59.1</v>
      </c>
      <c r="H105" s="357"/>
      <c r="I105" s="358"/>
      <c r="J105" s="304">
        <f>H105+I105</f>
        <v>0</v>
      </c>
      <c r="K105" s="305">
        <f>$G105*H105</f>
        <v>0</v>
      </c>
      <c r="L105" s="306">
        <f>$G105*I105</f>
        <v>0</v>
      </c>
      <c r="M105" s="307">
        <f>K105+L105</f>
        <v>0</v>
      </c>
      <c r="N105" s="375" t="s">
        <v>378</v>
      </c>
      <c r="O105" s="21"/>
      <c r="P105" s="21"/>
      <c r="Q105" s="22"/>
      <c r="R105" s="22"/>
      <c r="S105" s="22"/>
      <c r="T105" s="22"/>
      <c r="U105" s="22"/>
      <c r="V105" s="22"/>
      <c r="W105" s="22"/>
      <c r="X105" s="22"/>
      <c r="Y105" s="22"/>
      <c r="Z105" s="22"/>
      <c r="AA105" s="22"/>
      <c r="AB105" s="22"/>
      <c r="AC105" s="22"/>
      <c r="AD105" s="22"/>
      <c r="AE105" s="22"/>
      <c r="AF105" s="22"/>
      <c r="AG105" s="22"/>
      <c r="AH105" s="22"/>
      <c r="AI105" s="22"/>
      <c r="AJ105" s="22"/>
      <c r="AK105" s="22"/>
      <c r="AL105" s="22"/>
      <c r="AM105" s="22"/>
      <c r="AN105" s="22"/>
      <c r="AO105" s="22"/>
      <c r="AP105" s="22"/>
      <c r="AQ105" s="22"/>
      <c r="AR105" s="22"/>
      <c r="AS105" s="22"/>
      <c r="AT105" s="22"/>
      <c r="AU105" s="22"/>
      <c r="AV105" s="22"/>
      <c r="AW105" s="22"/>
      <c r="AX105" s="22"/>
      <c r="AY105" s="22"/>
      <c r="AZ105" s="22"/>
      <c r="BA105" s="22"/>
      <c r="BB105" s="22"/>
      <c r="BC105" s="22"/>
      <c r="BD105" s="22"/>
      <c r="BE105" s="22"/>
      <c r="BF105" s="22"/>
      <c r="BG105" s="22"/>
      <c r="BH105" s="22"/>
      <c r="BI105" s="22"/>
      <c r="BJ105" s="22"/>
      <c r="BK105" s="22"/>
      <c r="BL105" s="22"/>
      <c r="BM105" s="22"/>
      <c r="BN105" s="22"/>
      <c r="BO105" s="22"/>
      <c r="BP105" s="22"/>
      <c r="BQ105" s="22"/>
      <c r="BR105" s="22"/>
      <c r="BS105" s="22"/>
      <c r="BT105" s="22"/>
    </row>
    <row r="106" spans="1:72" s="23" customFormat="1" ht="34.5" customHeight="1" outlineLevel="1" x14ac:dyDescent="0.25">
      <c r="A106" s="479" t="s">
        <v>343</v>
      </c>
      <c r="B106" s="378"/>
      <c r="C106" s="312" t="s">
        <v>146</v>
      </c>
      <c r="D106" s="379"/>
      <c r="E106" s="380" t="s">
        <v>25</v>
      </c>
      <c r="F106" s="380"/>
      <c r="G106" s="356">
        <f>13.07</f>
        <v>13.07</v>
      </c>
      <c r="H106" s="124">
        <f>H107*$G107/$G106</f>
        <v>0</v>
      </c>
      <c r="I106" s="358"/>
      <c r="J106" s="304">
        <f>H106+I106</f>
        <v>0</v>
      </c>
      <c r="K106" s="305">
        <f>$G106*H106</f>
        <v>0</v>
      </c>
      <c r="L106" s="306">
        <f>$G106*I106</f>
        <v>0</v>
      </c>
      <c r="M106" s="307">
        <f>K106+L106</f>
        <v>0</v>
      </c>
      <c r="N106" s="416"/>
      <c r="O106" s="21"/>
      <c r="P106" s="21"/>
      <c r="Q106" s="22"/>
      <c r="R106" s="22"/>
      <c r="S106" s="22"/>
      <c r="T106" s="22"/>
      <c r="U106" s="22"/>
      <c r="V106" s="22"/>
      <c r="W106" s="22"/>
      <c r="X106" s="22"/>
      <c r="Y106" s="22"/>
      <c r="Z106" s="22"/>
      <c r="AA106" s="22"/>
      <c r="AB106" s="22"/>
      <c r="AC106" s="22"/>
      <c r="AD106" s="22"/>
      <c r="AE106" s="22"/>
      <c r="AF106" s="22"/>
      <c r="AG106" s="22"/>
      <c r="AH106" s="22"/>
      <c r="AI106" s="22"/>
      <c r="AJ106" s="22"/>
      <c r="AK106" s="22"/>
      <c r="AL106" s="22"/>
      <c r="AM106" s="22"/>
      <c r="AN106" s="22"/>
      <c r="AO106" s="22"/>
      <c r="AP106" s="22"/>
      <c r="AQ106" s="22"/>
      <c r="AR106" s="22"/>
      <c r="AS106" s="22"/>
      <c r="AT106" s="22"/>
      <c r="AU106" s="22"/>
      <c r="AV106" s="22"/>
      <c r="AW106" s="22"/>
      <c r="AX106" s="22"/>
      <c r="AY106" s="22"/>
      <c r="AZ106" s="22"/>
      <c r="BA106" s="22"/>
      <c r="BB106" s="22"/>
      <c r="BC106" s="22"/>
      <c r="BD106" s="22"/>
      <c r="BE106" s="22"/>
      <c r="BF106" s="22"/>
      <c r="BG106" s="22"/>
      <c r="BH106" s="22"/>
      <c r="BI106" s="22"/>
      <c r="BJ106" s="22"/>
      <c r="BK106" s="22"/>
      <c r="BL106" s="22"/>
      <c r="BM106" s="22"/>
      <c r="BN106" s="22"/>
      <c r="BO106" s="22"/>
      <c r="BP106" s="22"/>
      <c r="BQ106" s="22"/>
      <c r="BR106" s="22"/>
      <c r="BS106" s="22"/>
      <c r="BT106" s="22"/>
    </row>
    <row r="107" spans="1:72" s="23" customFormat="1" ht="27.95" customHeight="1" outlineLevel="1" x14ac:dyDescent="0.25">
      <c r="A107" s="485" t="s">
        <v>344</v>
      </c>
      <c r="B107" s="321">
        <v>4100008426</v>
      </c>
      <c r="C107" s="316" t="s">
        <v>147</v>
      </c>
      <c r="D107" s="381"/>
      <c r="E107" s="382" t="s">
        <v>25</v>
      </c>
      <c r="F107" s="382">
        <v>1.24</v>
      </c>
      <c r="G107" s="344">
        <f>G106*F107</f>
        <v>16.21</v>
      </c>
      <c r="H107" s="383"/>
      <c r="I107" s="384"/>
      <c r="J107" s="385"/>
      <c r="K107" s="386"/>
      <c r="L107" s="387"/>
      <c r="M107" s="385"/>
      <c r="N107" s="417"/>
      <c r="O107" s="21"/>
      <c r="P107" s="21"/>
      <c r="Q107" s="22"/>
      <c r="R107" s="22"/>
      <c r="S107" s="22"/>
      <c r="T107" s="22"/>
      <c r="U107" s="22"/>
      <c r="V107" s="22"/>
      <c r="W107" s="22"/>
      <c r="X107" s="22"/>
      <c r="Y107" s="22"/>
      <c r="Z107" s="22"/>
      <c r="AA107" s="22"/>
      <c r="AB107" s="22"/>
      <c r="AC107" s="22"/>
      <c r="AD107" s="22"/>
      <c r="AE107" s="22"/>
      <c r="AF107" s="22"/>
      <c r="AG107" s="22"/>
      <c r="AH107" s="22"/>
      <c r="AI107" s="22"/>
      <c r="AJ107" s="22"/>
      <c r="AK107" s="22"/>
      <c r="AL107" s="22"/>
      <c r="AM107" s="22"/>
      <c r="AN107" s="22"/>
      <c r="AO107" s="22"/>
      <c r="AP107" s="22"/>
      <c r="AQ107" s="22"/>
      <c r="AR107" s="22"/>
      <c r="AS107" s="22"/>
      <c r="AT107" s="22"/>
      <c r="AU107" s="22"/>
      <c r="AV107" s="22"/>
      <c r="AW107" s="22"/>
      <c r="AX107" s="22"/>
      <c r="AY107" s="22"/>
      <c r="AZ107" s="22"/>
      <c r="BA107" s="22"/>
      <c r="BB107" s="22"/>
      <c r="BC107" s="22"/>
      <c r="BD107" s="22"/>
      <c r="BE107" s="22"/>
      <c r="BF107" s="22"/>
      <c r="BG107" s="22"/>
      <c r="BH107" s="22"/>
      <c r="BI107" s="22"/>
      <c r="BJ107" s="22"/>
      <c r="BK107" s="22"/>
      <c r="BL107" s="22"/>
      <c r="BM107" s="22"/>
      <c r="BN107" s="22"/>
      <c r="BO107" s="22"/>
      <c r="BP107" s="22"/>
      <c r="BQ107" s="22"/>
      <c r="BR107" s="22"/>
      <c r="BS107" s="22"/>
      <c r="BT107" s="22"/>
    </row>
    <row r="108" spans="1:72" s="23" customFormat="1" ht="27" customHeight="1" x14ac:dyDescent="0.25">
      <c r="A108" s="278" t="s">
        <v>233</v>
      </c>
      <c r="B108" s="257"/>
      <c r="C108" s="258" t="s">
        <v>50</v>
      </c>
      <c r="D108" s="259"/>
      <c r="E108" s="259"/>
      <c r="F108" s="259"/>
      <c r="G108" s="355"/>
      <c r="H108" s="260"/>
      <c r="I108" s="261"/>
      <c r="J108" s="262"/>
      <c r="K108" s="263">
        <f>SUM(K109:K112)</f>
        <v>0</v>
      </c>
      <c r="L108" s="264">
        <f>SUM(L109:L112)</f>
        <v>0</v>
      </c>
      <c r="M108" s="265">
        <f>L108+K108</f>
        <v>0</v>
      </c>
      <c r="N108" s="315"/>
      <c r="O108" s="21"/>
      <c r="P108" s="21"/>
      <c r="Q108" s="22"/>
      <c r="R108" s="22"/>
      <c r="S108" s="22"/>
      <c r="T108" s="22"/>
      <c r="U108" s="22"/>
      <c r="V108" s="22"/>
      <c r="W108" s="22"/>
      <c r="X108" s="22"/>
      <c r="Y108" s="22"/>
      <c r="Z108" s="22"/>
      <c r="AA108" s="22"/>
      <c r="AB108" s="22"/>
      <c r="AC108" s="22"/>
      <c r="AD108" s="22"/>
      <c r="AE108" s="22"/>
      <c r="AF108" s="22"/>
      <c r="AG108" s="22"/>
      <c r="AH108" s="22"/>
      <c r="AI108" s="22"/>
      <c r="AJ108" s="22"/>
      <c r="AK108" s="22"/>
      <c r="AL108" s="22"/>
      <c r="AM108" s="22"/>
      <c r="AN108" s="22"/>
      <c r="AO108" s="22"/>
      <c r="AP108" s="22"/>
      <c r="AQ108" s="22"/>
      <c r="AR108" s="22"/>
      <c r="AS108" s="22"/>
      <c r="AT108" s="22"/>
      <c r="AU108" s="22"/>
      <c r="AV108" s="22"/>
      <c r="AW108" s="22"/>
      <c r="AX108" s="22"/>
      <c r="AY108" s="22"/>
      <c r="AZ108" s="22"/>
      <c r="BA108" s="22"/>
      <c r="BB108" s="22"/>
      <c r="BC108" s="22"/>
      <c r="BD108" s="22"/>
      <c r="BE108" s="22"/>
      <c r="BF108" s="22"/>
      <c r="BG108" s="22"/>
      <c r="BH108" s="22"/>
      <c r="BI108" s="22"/>
      <c r="BJ108" s="22"/>
      <c r="BK108" s="22"/>
      <c r="BL108" s="22"/>
      <c r="BM108" s="22"/>
      <c r="BN108" s="22"/>
      <c r="BO108" s="22"/>
      <c r="BP108" s="22"/>
      <c r="BQ108" s="22"/>
      <c r="BR108" s="22"/>
      <c r="BS108" s="22"/>
      <c r="BT108" s="22"/>
    </row>
    <row r="109" spans="1:72" s="229" customFormat="1" ht="39.950000000000003" customHeight="1" outlineLevel="1" x14ac:dyDescent="0.2">
      <c r="A109" s="333" t="s">
        <v>347</v>
      </c>
      <c r="B109" s="335"/>
      <c r="C109" s="336" t="s">
        <v>168</v>
      </c>
      <c r="D109" s="337"/>
      <c r="E109" s="337" t="s">
        <v>27</v>
      </c>
      <c r="F109" s="337"/>
      <c r="G109" s="356">
        <v>19.399999999999999</v>
      </c>
      <c r="H109" s="357"/>
      <c r="I109" s="358"/>
      <c r="J109" s="304">
        <f>H109+I109</f>
        <v>0</v>
      </c>
      <c r="K109" s="305">
        <f>$G109*H109</f>
        <v>0</v>
      </c>
      <c r="L109" s="306">
        <f>$G109*I109</f>
        <v>0</v>
      </c>
      <c r="M109" s="307">
        <f>K109+L109</f>
        <v>0</v>
      </c>
      <c r="N109" s="354"/>
      <c r="O109" s="16"/>
      <c r="P109" s="16"/>
      <c r="Q109" s="226"/>
      <c r="R109" s="226"/>
      <c r="S109" s="226"/>
      <c r="T109" s="226"/>
      <c r="U109" s="226"/>
      <c r="V109" s="226"/>
      <c r="W109" s="226"/>
      <c r="X109" s="226"/>
      <c r="Y109" s="226"/>
      <c r="Z109" s="226"/>
      <c r="AA109" s="226"/>
      <c r="AB109" s="226"/>
      <c r="AC109" s="226"/>
      <c r="AD109" s="226"/>
      <c r="AE109" s="226"/>
      <c r="AF109" s="226"/>
      <c r="AG109" s="226"/>
      <c r="AH109" s="226"/>
      <c r="AI109" s="226"/>
      <c r="AJ109" s="226"/>
      <c r="AK109" s="226"/>
      <c r="AL109" s="226"/>
      <c r="AM109" s="226"/>
      <c r="AN109" s="226"/>
      <c r="AO109" s="226"/>
      <c r="AP109" s="226"/>
      <c r="AQ109" s="226"/>
      <c r="AR109" s="226"/>
      <c r="AS109" s="226"/>
      <c r="AT109" s="226"/>
      <c r="AU109" s="226"/>
      <c r="AV109" s="226"/>
      <c r="AW109" s="226"/>
      <c r="AX109" s="226"/>
      <c r="AY109" s="226"/>
      <c r="AZ109" s="226"/>
      <c r="BA109" s="226"/>
      <c r="BB109" s="226"/>
      <c r="BC109" s="226"/>
      <c r="BD109" s="226"/>
      <c r="BE109" s="226"/>
      <c r="BF109" s="226"/>
      <c r="BG109" s="226"/>
      <c r="BH109" s="226"/>
      <c r="BI109" s="226"/>
      <c r="BJ109" s="226"/>
      <c r="BK109" s="226"/>
      <c r="BL109" s="226"/>
      <c r="BM109" s="226"/>
      <c r="BN109" s="226"/>
      <c r="BO109" s="226"/>
      <c r="BP109" s="226"/>
      <c r="BQ109" s="226"/>
      <c r="BR109" s="226"/>
      <c r="BS109" s="226"/>
      <c r="BT109" s="226"/>
    </row>
    <row r="110" spans="1:72" s="229" customFormat="1" ht="39.950000000000003" customHeight="1" outlineLevel="1" x14ac:dyDescent="0.2">
      <c r="A110" s="309" t="s">
        <v>348</v>
      </c>
      <c r="B110" s="228"/>
      <c r="C110" s="336" t="s">
        <v>210</v>
      </c>
      <c r="D110" s="234"/>
      <c r="E110" s="337" t="s">
        <v>27</v>
      </c>
      <c r="F110" s="234"/>
      <c r="G110" s="356">
        <v>2.0499999999999998</v>
      </c>
      <c r="H110" s="415"/>
      <c r="I110" s="299"/>
      <c r="J110" s="304">
        <f>H110+I110</f>
        <v>0</v>
      </c>
      <c r="K110" s="305">
        <f>$G110*H110</f>
        <v>0</v>
      </c>
      <c r="L110" s="306">
        <f>$G110*I110</f>
        <v>0</v>
      </c>
      <c r="M110" s="307">
        <f>K110+L110</f>
        <v>0</v>
      </c>
      <c r="N110" s="354"/>
      <c r="O110" s="16"/>
      <c r="P110" s="16"/>
      <c r="Q110" s="226"/>
      <c r="R110" s="226"/>
      <c r="S110" s="226"/>
      <c r="T110" s="226"/>
      <c r="U110" s="226"/>
      <c r="V110" s="226"/>
      <c r="W110" s="226"/>
      <c r="X110" s="226"/>
      <c r="Y110" s="226"/>
      <c r="Z110" s="226"/>
      <c r="AA110" s="226"/>
      <c r="AB110" s="226"/>
      <c r="AC110" s="226"/>
      <c r="AD110" s="226"/>
      <c r="AE110" s="226"/>
      <c r="AF110" s="226"/>
      <c r="AG110" s="226"/>
      <c r="AH110" s="226"/>
      <c r="AI110" s="226"/>
      <c r="AJ110" s="226"/>
      <c r="AK110" s="226"/>
      <c r="AL110" s="226"/>
      <c r="AM110" s="226"/>
      <c r="AN110" s="226"/>
      <c r="AO110" s="226"/>
      <c r="AP110" s="226"/>
      <c r="AQ110" s="226"/>
      <c r="AR110" s="226"/>
      <c r="AS110" s="226"/>
      <c r="AT110" s="226"/>
      <c r="AU110" s="226"/>
      <c r="AV110" s="226"/>
      <c r="AW110" s="226"/>
      <c r="AX110" s="226"/>
      <c r="AY110" s="226"/>
      <c r="AZ110" s="226"/>
      <c r="BA110" s="226"/>
      <c r="BB110" s="226"/>
      <c r="BC110" s="226"/>
      <c r="BD110" s="226"/>
      <c r="BE110" s="226"/>
      <c r="BF110" s="226"/>
      <c r="BG110" s="226"/>
      <c r="BH110" s="226"/>
      <c r="BI110" s="226"/>
      <c r="BJ110" s="226"/>
      <c r="BK110" s="226"/>
      <c r="BL110" s="226"/>
      <c r="BM110" s="226"/>
      <c r="BN110" s="226"/>
      <c r="BO110" s="226"/>
      <c r="BP110" s="226"/>
      <c r="BQ110" s="226"/>
      <c r="BR110" s="226"/>
      <c r="BS110" s="226"/>
      <c r="BT110" s="226"/>
    </row>
    <row r="111" spans="1:72" s="229" customFormat="1" ht="39.950000000000003" customHeight="1" outlineLevel="1" x14ac:dyDescent="0.2">
      <c r="A111" s="309" t="s">
        <v>349</v>
      </c>
      <c r="B111" s="228"/>
      <c r="C111" s="336" t="s">
        <v>237</v>
      </c>
      <c r="D111" s="234"/>
      <c r="E111" s="337" t="s">
        <v>27</v>
      </c>
      <c r="F111" s="234"/>
      <c r="G111" s="356">
        <v>2</v>
      </c>
      <c r="H111" s="415"/>
      <c r="I111" s="299"/>
      <c r="J111" s="304">
        <f t="shared" ref="J111:J112" si="4">H111+I111</f>
        <v>0</v>
      </c>
      <c r="K111" s="305">
        <f t="shared" ref="K111:K112" si="5">$G111*H111</f>
        <v>0</v>
      </c>
      <c r="L111" s="306">
        <f t="shared" ref="L111:L112" si="6">$G111*I111</f>
        <v>0</v>
      </c>
      <c r="M111" s="307">
        <f t="shared" ref="M111:M112" si="7">K111+L111</f>
        <v>0</v>
      </c>
      <c r="N111" s="354"/>
      <c r="O111" s="16"/>
      <c r="P111" s="16"/>
      <c r="Q111" s="226"/>
      <c r="R111" s="226"/>
      <c r="S111" s="226"/>
      <c r="T111" s="226"/>
      <c r="U111" s="226"/>
      <c r="V111" s="226"/>
      <c r="W111" s="226"/>
      <c r="X111" s="226"/>
      <c r="Y111" s="226"/>
      <c r="Z111" s="226"/>
      <c r="AA111" s="226"/>
      <c r="AB111" s="226"/>
      <c r="AC111" s="226"/>
      <c r="AD111" s="226"/>
      <c r="AE111" s="226"/>
      <c r="AF111" s="226"/>
      <c r="AG111" s="226"/>
      <c r="AH111" s="226"/>
      <c r="AI111" s="226"/>
      <c r="AJ111" s="226"/>
      <c r="AK111" s="226"/>
      <c r="AL111" s="226"/>
      <c r="AM111" s="226"/>
      <c r="AN111" s="226"/>
      <c r="AO111" s="226"/>
      <c r="AP111" s="226"/>
      <c r="AQ111" s="226"/>
      <c r="AR111" s="226"/>
      <c r="AS111" s="226"/>
      <c r="AT111" s="226"/>
      <c r="AU111" s="226"/>
      <c r="AV111" s="226"/>
      <c r="AW111" s="226"/>
      <c r="AX111" s="226"/>
      <c r="AY111" s="226"/>
      <c r="AZ111" s="226"/>
      <c r="BA111" s="226"/>
      <c r="BB111" s="226"/>
      <c r="BC111" s="226"/>
      <c r="BD111" s="226"/>
      <c r="BE111" s="226"/>
      <c r="BF111" s="226"/>
      <c r="BG111" s="226"/>
      <c r="BH111" s="226"/>
      <c r="BI111" s="226"/>
      <c r="BJ111" s="226"/>
      <c r="BK111" s="226"/>
      <c r="BL111" s="226"/>
      <c r="BM111" s="226"/>
      <c r="BN111" s="226"/>
      <c r="BO111" s="226"/>
      <c r="BP111" s="226"/>
      <c r="BQ111" s="226"/>
      <c r="BR111" s="226"/>
      <c r="BS111" s="226"/>
      <c r="BT111" s="226"/>
    </row>
    <row r="112" spans="1:72" s="229" customFormat="1" ht="39.950000000000003" customHeight="1" outlineLevel="1" x14ac:dyDescent="0.2">
      <c r="A112" s="309" t="s">
        <v>350</v>
      </c>
      <c r="B112" s="335"/>
      <c r="C112" s="336" t="s">
        <v>209</v>
      </c>
      <c r="D112" s="337"/>
      <c r="E112" s="337" t="s">
        <v>27</v>
      </c>
      <c r="F112" s="337"/>
      <c r="G112" s="356">
        <v>1.25</v>
      </c>
      <c r="H112" s="357"/>
      <c r="I112" s="358"/>
      <c r="J112" s="304">
        <f t="shared" si="4"/>
        <v>0</v>
      </c>
      <c r="K112" s="305">
        <f t="shared" si="5"/>
        <v>0</v>
      </c>
      <c r="L112" s="306">
        <f t="shared" si="6"/>
        <v>0</v>
      </c>
      <c r="M112" s="307">
        <f t="shared" si="7"/>
        <v>0</v>
      </c>
      <c r="N112" s="354"/>
      <c r="O112" s="16"/>
      <c r="P112" s="16"/>
      <c r="Q112" s="226"/>
      <c r="R112" s="226"/>
      <c r="S112" s="226"/>
      <c r="T112" s="226"/>
      <c r="U112" s="226"/>
      <c r="V112" s="226"/>
      <c r="W112" s="226"/>
      <c r="X112" s="226"/>
      <c r="Y112" s="226"/>
      <c r="Z112" s="226"/>
      <c r="AA112" s="226"/>
      <c r="AB112" s="226"/>
      <c r="AC112" s="226"/>
      <c r="AD112" s="226"/>
      <c r="AE112" s="226"/>
      <c r="AF112" s="226"/>
      <c r="AG112" s="226"/>
      <c r="AH112" s="226"/>
      <c r="AI112" s="226"/>
      <c r="AJ112" s="226"/>
      <c r="AK112" s="226"/>
      <c r="AL112" s="226"/>
      <c r="AM112" s="226"/>
      <c r="AN112" s="226"/>
      <c r="AO112" s="226"/>
      <c r="AP112" s="226"/>
      <c r="AQ112" s="226"/>
      <c r="AR112" s="226"/>
      <c r="AS112" s="226"/>
      <c r="AT112" s="226"/>
      <c r="AU112" s="226"/>
      <c r="AV112" s="226"/>
      <c r="AW112" s="226"/>
      <c r="AX112" s="226"/>
      <c r="AY112" s="226"/>
      <c r="AZ112" s="226"/>
      <c r="BA112" s="226"/>
      <c r="BB112" s="226"/>
      <c r="BC112" s="226"/>
      <c r="BD112" s="226"/>
      <c r="BE112" s="226"/>
      <c r="BF112" s="226"/>
      <c r="BG112" s="226"/>
      <c r="BH112" s="226"/>
      <c r="BI112" s="226"/>
      <c r="BJ112" s="226"/>
      <c r="BK112" s="226"/>
      <c r="BL112" s="226"/>
      <c r="BM112" s="226"/>
      <c r="BN112" s="226"/>
      <c r="BO112" s="226"/>
      <c r="BP112" s="226"/>
      <c r="BQ112" s="226"/>
      <c r="BR112" s="226"/>
      <c r="BS112" s="226"/>
      <c r="BT112" s="226"/>
    </row>
    <row r="113" spans="1:72" s="23" customFormat="1" ht="27" customHeight="1" x14ac:dyDescent="0.25">
      <c r="A113" s="278" t="s">
        <v>234</v>
      </c>
      <c r="B113" s="257"/>
      <c r="C113" s="258" t="s">
        <v>155</v>
      </c>
      <c r="D113" s="259"/>
      <c r="E113" s="259"/>
      <c r="F113" s="259"/>
      <c r="G113" s="355"/>
      <c r="H113" s="260"/>
      <c r="I113" s="261"/>
      <c r="J113" s="262"/>
      <c r="K113" s="263">
        <f>SUM(K114:K114)</f>
        <v>0</v>
      </c>
      <c r="L113" s="264">
        <f>SUM(L114:L114)</f>
        <v>0</v>
      </c>
      <c r="M113" s="265">
        <f>L113+K113</f>
        <v>0</v>
      </c>
      <c r="N113" s="315"/>
      <c r="O113" s="21"/>
      <c r="P113" s="21"/>
      <c r="Q113" s="22"/>
      <c r="R113" s="22"/>
      <c r="S113" s="22"/>
      <c r="T113" s="22"/>
      <c r="U113" s="22"/>
      <c r="V113" s="22"/>
      <c r="W113" s="22"/>
      <c r="X113" s="22"/>
      <c r="Y113" s="22"/>
      <c r="Z113" s="22"/>
      <c r="AA113" s="22"/>
      <c r="AB113" s="22"/>
      <c r="AC113" s="22"/>
      <c r="AD113" s="22"/>
      <c r="AE113" s="22"/>
      <c r="AF113" s="22"/>
      <c r="AG113" s="22"/>
      <c r="AH113" s="22"/>
      <c r="AI113" s="22"/>
      <c r="AJ113" s="22"/>
      <c r="AK113" s="22"/>
      <c r="AL113" s="22"/>
      <c r="AM113" s="22"/>
      <c r="AN113" s="22"/>
      <c r="AO113" s="22"/>
      <c r="AP113" s="22"/>
      <c r="AQ113" s="22"/>
      <c r="AR113" s="22"/>
      <c r="AS113" s="22"/>
      <c r="AT113" s="22"/>
      <c r="AU113" s="22"/>
      <c r="AV113" s="22"/>
      <c r="AW113" s="22"/>
      <c r="AX113" s="22"/>
      <c r="AY113" s="22"/>
      <c r="AZ113" s="22"/>
      <c r="BA113" s="22"/>
      <c r="BB113" s="22"/>
      <c r="BC113" s="22"/>
      <c r="BD113" s="22"/>
      <c r="BE113" s="22"/>
      <c r="BF113" s="22"/>
      <c r="BG113" s="22"/>
      <c r="BH113" s="22"/>
      <c r="BI113" s="22"/>
      <c r="BJ113" s="22"/>
      <c r="BK113" s="22"/>
      <c r="BL113" s="22"/>
      <c r="BM113" s="22"/>
      <c r="BN113" s="22"/>
      <c r="BO113" s="22"/>
      <c r="BP113" s="22"/>
      <c r="BQ113" s="22"/>
      <c r="BR113" s="22"/>
      <c r="BS113" s="22"/>
      <c r="BT113" s="22"/>
    </row>
    <row r="114" spans="1:72" ht="36.75" customHeight="1" outlineLevel="1" x14ac:dyDescent="0.25">
      <c r="A114" s="359" t="s">
        <v>340</v>
      </c>
      <c r="B114" s="345"/>
      <c r="C114" s="336" t="s">
        <v>167</v>
      </c>
      <c r="D114" s="337"/>
      <c r="E114" s="337" t="s">
        <v>166</v>
      </c>
      <c r="F114" s="346"/>
      <c r="G114" s="347">
        <v>270</v>
      </c>
      <c r="H114" s="348"/>
      <c r="I114" s="349"/>
      <c r="J114" s="350">
        <f>H114+I114</f>
        <v>0</v>
      </c>
      <c r="K114" s="351">
        <f>$G114*H114</f>
        <v>0</v>
      </c>
      <c r="L114" s="352">
        <f>$G114*I114</f>
        <v>0</v>
      </c>
      <c r="M114" s="353">
        <f>K114+L114</f>
        <v>0</v>
      </c>
      <c r="N114" s="354"/>
      <c r="O114" s="136"/>
      <c r="P114" s="136"/>
    </row>
    <row r="115" spans="1:72" s="23" customFormat="1" ht="27" customHeight="1" x14ac:dyDescent="0.25">
      <c r="A115" s="278" t="s">
        <v>235</v>
      </c>
      <c r="B115" s="257"/>
      <c r="C115" s="258" t="s">
        <v>211</v>
      </c>
      <c r="D115" s="259"/>
      <c r="E115" s="259"/>
      <c r="F115" s="259"/>
      <c r="G115" s="355"/>
      <c r="H115" s="260"/>
      <c r="I115" s="261"/>
      <c r="J115" s="262"/>
      <c r="K115" s="263">
        <f>SUM(K116:K117)</f>
        <v>0</v>
      </c>
      <c r="L115" s="264">
        <f>SUM(L116:L117)</f>
        <v>0</v>
      </c>
      <c r="M115" s="265">
        <f>L115+K115</f>
        <v>0</v>
      </c>
      <c r="N115" s="315"/>
      <c r="O115" s="21"/>
      <c r="P115" s="21"/>
      <c r="Q115" s="22"/>
      <c r="R115" s="22"/>
      <c r="S115" s="22"/>
      <c r="T115" s="22"/>
      <c r="U115" s="22"/>
      <c r="V115" s="22"/>
      <c r="W115" s="22"/>
      <c r="X115" s="22"/>
      <c r="Y115" s="22"/>
      <c r="Z115" s="22"/>
      <c r="AA115" s="22"/>
      <c r="AB115" s="22"/>
      <c r="AC115" s="22"/>
      <c r="AD115" s="22"/>
      <c r="AE115" s="22"/>
      <c r="AF115" s="22"/>
      <c r="AG115" s="22"/>
      <c r="AH115" s="22"/>
      <c r="AI115" s="22"/>
      <c r="AJ115" s="22"/>
      <c r="AK115" s="22"/>
      <c r="AL115" s="22"/>
      <c r="AM115" s="22"/>
      <c r="AN115" s="22"/>
      <c r="AO115" s="22"/>
      <c r="AP115" s="22"/>
      <c r="AQ115" s="22"/>
      <c r="AR115" s="22"/>
      <c r="AS115" s="22"/>
      <c r="AT115" s="22"/>
      <c r="AU115" s="22"/>
      <c r="AV115" s="22"/>
      <c r="AW115" s="22"/>
      <c r="AX115" s="22"/>
      <c r="AY115" s="22"/>
      <c r="AZ115" s="22"/>
      <c r="BA115" s="22"/>
      <c r="BB115" s="22"/>
      <c r="BC115" s="22"/>
      <c r="BD115" s="22"/>
      <c r="BE115" s="22"/>
      <c r="BF115" s="22"/>
      <c r="BG115" s="22"/>
      <c r="BH115" s="22"/>
      <c r="BI115" s="22"/>
      <c r="BJ115" s="22"/>
      <c r="BK115" s="22"/>
      <c r="BL115" s="22"/>
      <c r="BM115" s="22"/>
      <c r="BN115" s="22"/>
      <c r="BO115" s="22"/>
      <c r="BP115" s="22"/>
      <c r="BQ115" s="22"/>
      <c r="BR115" s="22"/>
      <c r="BS115" s="22"/>
      <c r="BT115" s="22"/>
    </row>
    <row r="116" spans="1:72" ht="54.75" customHeight="1" outlineLevel="1" x14ac:dyDescent="0.25">
      <c r="A116" s="359" t="s">
        <v>345</v>
      </c>
      <c r="B116" s="345"/>
      <c r="C116" s="336" t="s">
        <v>213</v>
      </c>
      <c r="D116" s="337"/>
      <c r="E116" s="337" t="s">
        <v>212</v>
      </c>
      <c r="F116" s="346"/>
      <c r="G116" s="347">
        <v>1</v>
      </c>
      <c r="H116" s="348"/>
      <c r="I116" s="349"/>
      <c r="J116" s="350">
        <f>H116+I116</f>
        <v>0</v>
      </c>
      <c r="K116" s="351">
        <f>$G116*H116</f>
        <v>0</v>
      </c>
      <c r="L116" s="352">
        <f>$G116*I116</f>
        <v>0</v>
      </c>
      <c r="M116" s="353">
        <f>K116+L116</f>
        <v>0</v>
      </c>
      <c r="N116" s="354"/>
      <c r="O116" s="136"/>
      <c r="P116" s="136"/>
    </row>
    <row r="117" spans="1:72" ht="36" customHeight="1" outlineLevel="1" x14ac:dyDescent="0.25">
      <c r="A117" s="359" t="s">
        <v>346</v>
      </c>
      <c r="B117" s="345"/>
      <c r="C117" s="336" t="s">
        <v>214</v>
      </c>
      <c r="D117" s="337"/>
      <c r="E117" s="337" t="s">
        <v>212</v>
      </c>
      <c r="F117" s="346"/>
      <c r="G117" s="347">
        <v>1</v>
      </c>
      <c r="H117" s="348"/>
      <c r="I117" s="349"/>
      <c r="J117" s="350">
        <f>H117+I117</f>
        <v>0</v>
      </c>
      <c r="K117" s="351">
        <f>$G117*H117</f>
        <v>0</v>
      </c>
      <c r="L117" s="352">
        <f>$G117*I117</f>
        <v>0</v>
      </c>
      <c r="M117" s="353">
        <f>K117+L117</f>
        <v>0</v>
      </c>
      <c r="N117" s="354"/>
      <c r="O117" s="136"/>
      <c r="P117" s="136"/>
    </row>
    <row r="118" spans="1:72" s="227" customFormat="1" ht="27.75" customHeight="1" x14ac:dyDescent="0.25">
      <c r="A118" s="424">
        <v>2</v>
      </c>
      <c r="B118" s="267"/>
      <c r="C118" s="268" t="s">
        <v>225</v>
      </c>
      <c r="D118" s="268"/>
      <c r="E118" s="269"/>
      <c r="F118" s="269"/>
      <c r="G118" s="270"/>
      <c r="H118" s="271"/>
      <c r="I118" s="272"/>
      <c r="J118" s="273"/>
      <c r="K118" s="274">
        <f>K119+K122+K135+K138</f>
        <v>0</v>
      </c>
      <c r="L118" s="275">
        <f>L119+L122+L135+L138</f>
        <v>0</v>
      </c>
      <c r="M118" s="276">
        <f>L118+K118</f>
        <v>0</v>
      </c>
      <c r="N118" s="277"/>
      <c r="O118" s="230"/>
      <c r="P118" s="16"/>
      <c r="Q118" s="226"/>
      <c r="R118" s="226"/>
      <c r="S118" s="226"/>
      <c r="T118" s="226"/>
      <c r="U118" s="226"/>
      <c r="V118" s="226"/>
      <c r="W118" s="226"/>
      <c r="X118" s="226"/>
      <c r="Y118" s="226"/>
      <c r="Z118" s="226"/>
      <c r="AA118" s="226"/>
      <c r="AB118" s="226"/>
      <c r="AC118" s="226"/>
      <c r="AD118" s="226"/>
      <c r="AE118" s="226"/>
      <c r="AF118" s="226"/>
      <c r="AG118" s="226"/>
      <c r="AH118" s="226"/>
      <c r="AI118" s="226"/>
      <c r="AJ118" s="226"/>
      <c r="AK118" s="226"/>
      <c r="AL118" s="226"/>
      <c r="AM118" s="226"/>
      <c r="AN118" s="226"/>
      <c r="AO118" s="226"/>
      <c r="AP118" s="226"/>
      <c r="AQ118" s="226"/>
      <c r="AR118" s="226"/>
      <c r="AS118" s="226"/>
      <c r="AT118" s="226"/>
      <c r="AU118" s="226"/>
      <c r="AV118" s="226"/>
      <c r="AW118" s="226"/>
      <c r="AX118" s="226"/>
      <c r="AY118" s="226"/>
      <c r="AZ118" s="226"/>
      <c r="BA118" s="226"/>
      <c r="BB118" s="226"/>
      <c r="BC118" s="226"/>
      <c r="BD118" s="226"/>
      <c r="BE118" s="226"/>
      <c r="BF118" s="226"/>
      <c r="BG118" s="226"/>
      <c r="BH118" s="226"/>
      <c r="BI118" s="226"/>
      <c r="BJ118" s="226"/>
      <c r="BK118" s="226"/>
      <c r="BL118" s="226"/>
      <c r="BM118" s="226"/>
      <c r="BN118" s="226"/>
      <c r="BO118" s="226"/>
      <c r="BP118" s="226"/>
      <c r="BQ118" s="226"/>
      <c r="BR118" s="226"/>
      <c r="BS118" s="226"/>
      <c r="BT118" s="226"/>
    </row>
    <row r="119" spans="1:72" s="227" customFormat="1" ht="27.75" customHeight="1" x14ac:dyDescent="0.25">
      <c r="A119" s="278" t="s">
        <v>169</v>
      </c>
      <c r="B119" s="257"/>
      <c r="C119" s="258" t="s">
        <v>24</v>
      </c>
      <c r="D119" s="258"/>
      <c r="E119" s="259"/>
      <c r="F119" s="259"/>
      <c r="G119" s="355"/>
      <c r="H119" s="260"/>
      <c r="I119" s="261"/>
      <c r="J119" s="262"/>
      <c r="K119" s="372">
        <f>SUM(K120:K121)</f>
        <v>0</v>
      </c>
      <c r="L119" s="264">
        <f>SUM(L120:L121)</f>
        <v>0</v>
      </c>
      <c r="M119" s="265">
        <f>L119+K119</f>
        <v>0</v>
      </c>
      <c r="N119" s="315"/>
      <c r="O119" s="230"/>
      <c r="P119" s="16"/>
      <c r="Q119" s="226"/>
      <c r="R119" s="226"/>
      <c r="S119" s="226"/>
      <c r="T119" s="226"/>
      <c r="U119" s="226"/>
      <c r="V119" s="226"/>
      <c r="W119" s="226"/>
      <c r="X119" s="226"/>
      <c r="Y119" s="226"/>
      <c r="Z119" s="226"/>
      <c r="AA119" s="226"/>
      <c r="AB119" s="226"/>
      <c r="AC119" s="226"/>
      <c r="AD119" s="226"/>
      <c r="AE119" s="226"/>
      <c r="AF119" s="226"/>
      <c r="AG119" s="226"/>
      <c r="AH119" s="226"/>
      <c r="AI119" s="226"/>
      <c r="AJ119" s="226"/>
      <c r="AK119" s="226"/>
      <c r="AL119" s="226"/>
      <c r="AM119" s="226"/>
      <c r="AN119" s="226"/>
      <c r="AO119" s="226"/>
      <c r="AP119" s="226"/>
      <c r="AQ119" s="226"/>
      <c r="AR119" s="226"/>
      <c r="AS119" s="226"/>
      <c r="AT119" s="226"/>
      <c r="AU119" s="226"/>
      <c r="AV119" s="226"/>
      <c r="AW119" s="226"/>
      <c r="AX119" s="226"/>
      <c r="AY119" s="226"/>
      <c r="AZ119" s="226"/>
      <c r="BA119" s="226"/>
      <c r="BB119" s="226"/>
      <c r="BC119" s="226"/>
      <c r="BD119" s="226"/>
      <c r="BE119" s="226"/>
      <c r="BF119" s="226"/>
      <c r="BG119" s="226"/>
      <c r="BH119" s="226"/>
      <c r="BI119" s="226"/>
      <c r="BJ119" s="226"/>
      <c r="BK119" s="226"/>
      <c r="BL119" s="226"/>
      <c r="BM119" s="226"/>
      <c r="BN119" s="226"/>
      <c r="BO119" s="226"/>
      <c r="BP119" s="226"/>
      <c r="BQ119" s="226"/>
      <c r="BR119" s="226"/>
      <c r="BS119" s="226"/>
      <c r="BT119" s="226"/>
    </row>
    <row r="120" spans="1:72" s="229" customFormat="1" ht="42.75" customHeight="1" outlineLevel="1" x14ac:dyDescent="0.2">
      <c r="A120" s="373" t="s">
        <v>354</v>
      </c>
      <c r="B120" s="440"/>
      <c r="C120" s="369" t="s">
        <v>26</v>
      </c>
      <c r="D120" s="301"/>
      <c r="E120" s="302" t="s">
        <v>27</v>
      </c>
      <c r="F120" s="302"/>
      <c r="G120" s="356">
        <f>G122+G138</f>
        <v>262.7</v>
      </c>
      <c r="H120" s="371"/>
      <c r="I120" s="134"/>
      <c r="J120" s="304">
        <f>H120+I120</f>
        <v>0</v>
      </c>
      <c r="K120" s="305"/>
      <c r="L120" s="306">
        <f>$G120*I120</f>
        <v>0</v>
      </c>
      <c r="M120" s="307">
        <f>K120+L120</f>
        <v>0</v>
      </c>
      <c r="N120" s="374"/>
      <c r="O120" s="423"/>
      <c r="P120" s="16"/>
      <c r="Q120" s="226"/>
      <c r="R120" s="226"/>
      <c r="S120" s="226"/>
      <c r="T120" s="226"/>
      <c r="U120" s="226"/>
      <c r="V120" s="226"/>
      <c r="W120" s="226"/>
      <c r="X120" s="226"/>
      <c r="Y120" s="226"/>
      <c r="Z120" s="226"/>
      <c r="AA120" s="226"/>
      <c r="AB120" s="226"/>
      <c r="AC120" s="226"/>
      <c r="AD120" s="226"/>
      <c r="AE120" s="226"/>
      <c r="AF120" s="226"/>
      <c r="AG120" s="226"/>
      <c r="AH120" s="226"/>
      <c r="AI120" s="226"/>
      <c r="AJ120" s="226"/>
      <c r="AK120" s="226"/>
      <c r="AL120" s="226"/>
      <c r="AM120" s="226"/>
      <c r="AN120" s="226"/>
      <c r="AO120" s="226"/>
      <c r="AP120" s="226"/>
      <c r="AQ120" s="226"/>
      <c r="AR120" s="226"/>
      <c r="AS120" s="226"/>
      <c r="AT120" s="226"/>
      <c r="AU120" s="226"/>
      <c r="AV120" s="226"/>
      <c r="AW120" s="226"/>
      <c r="AX120" s="226"/>
      <c r="AY120" s="226"/>
      <c r="AZ120" s="226"/>
      <c r="BA120" s="226"/>
      <c r="BB120" s="226"/>
      <c r="BC120" s="226"/>
      <c r="BD120" s="226"/>
      <c r="BE120" s="226"/>
      <c r="BF120" s="226"/>
      <c r="BG120" s="226"/>
      <c r="BH120" s="226"/>
      <c r="BI120" s="226"/>
      <c r="BJ120" s="226"/>
      <c r="BK120" s="226"/>
      <c r="BL120" s="226"/>
      <c r="BM120" s="226"/>
      <c r="BN120" s="226"/>
      <c r="BO120" s="226"/>
      <c r="BP120" s="226"/>
      <c r="BQ120" s="226"/>
      <c r="BR120" s="226"/>
      <c r="BS120" s="226"/>
      <c r="BT120" s="226"/>
    </row>
    <row r="121" spans="1:72" s="23" customFormat="1" ht="48.75" customHeight="1" outlineLevel="1" x14ac:dyDescent="0.25">
      <c r="A121" s="309" t="s">
        <v>355</v>
      </c>
      <c r="B121" s="158"/>
      <c r="C121" s="300" t="s">
        <v>30</v>
      </c>
      <c r="D121" s="408"/>
      <c r="E121" s="302" t="s">
        <v>25</v>
      </c>
      <c r="F121" s="409"/>
      <c r="G121" s="303">
        <f>330+6</f>
        <v>336</v>
      </c>
      <c r="H121" s="410"/>
      <c r="I121" s="53"/>
      <c r="J121" s="304">
        <f>H121+I121</f>
        <v>0</v>
      </c>
      <c r="K121" s="305"/>
      <c r="L121" s="306">
        <f>$G121*I121</f>
        <v>0</v>
      </c>
      <c r="M121" s="307">
        <f>K121+L121</f>
        <v>0</v>
      </c>
      <c r="N121" s="311"/>
      <c r="O121" s="21"/>
      <c r="P121" s="230"/>
      <c r="Q121" s="22"/>
      <c r="R121" s="22"/>
      <c r="S121" s="22"/>
      <c r="T121" s="22"/>
      <c r="U121" s="22"/>
      <c r="V121" s="22"/>
      <c r="W121" s="22"/>
      <c r="X121" s="22"/>
      <c r="Y121" s="22"/>
      <c r="Z121" s="22"/>
      <c r="AA121" s="22"/>
      <c r="AB121" s="22"/>
      <c r="AC121" s="22"/>
      <c r="AD121" s="22"/>
      <c r="AE121" s="22"/>
      <c r="AF121" s="22"/>
      <c r="AG121" s="22"/>
      <c r="AH121" s="22"/>
      <c r="AI121" s="22"/>
      <c r="AJ121" s="22"/>
      <c r="AK121" s="22"/>
      <c r="AL121" s="22"/>
      <c r="AM121" s="22"/>
      <c r="AN121" s="22"/>
      <c r="AO121" s="22"/>
      <c r="AP121" s="22"/>
      <c r="AQ121" s="22"/>
      <c r="AR121" s="22"/>
      <c r="AS121" s="22"/>
      <c r="AT121" s="22"/>
      <c r="AU121" s="22"/>
      <c r="AV121" s="22"/>
      <c r="AW121" s="22"/>
      <c r="AX121" s="22"/>
      <c r="AY121" s="22"/>
      <c r="AZ121" s="22"/>
      <c r="BA121" s="22"/>
      <c r="BB121" s="22"/>
      <c r="BC121" s="22"/>
      <c r="BD121" s="22"/>
      <c r="BE121" s="22"/>
      <c r="BF121" s="22"/>
      <c r="BG121" s="22"/>
      <c r="BH121" s="22"/>
      <c r="BI121" s="22"/>
      <c r="BJ121" s="22"/>
      <c r="BK121" s="22"/>
      <c r="BL121" s="22"/>
      <c r="BM121" s="22"/>
      <c r="BN121" s="22"/>
      <c r="BO121" s="22"/>
      <c r="BP121" s="22"/>
      <c r="BQ121" s="22"/>
      <c r="BR121" s="22"/>
      <c r="BS121" s="22"/>
      <c r="BT121" s="22"/>
    </row>
    <row r="122" spans="1:72" s="23" customFormat="1" ht="27" customHeight="1" x14ac:dyDescent="0.25">
      <c r="A122" s="278" t="s">
        <v>39</v>
      </c>
      <c r="B122" s="257"/>
      <c r="C122" s="258" t="s">
        <v>32</v>
      </c>
      <c r="D122" s="259">
        <f>SUM(D123:D134)</f>
        <v>1.53</v>
      </c>
      <c r="E122" s="259" t="s">
        <v>27</v>
      </c>
      <c r="F122" s="259"/>
      <c r="G122" s="314">
        <v>210.8</v>
      </c>
      <c r="H122" s="260"/>
      <c r="I122" s="261"/>
      <c r="J122" s="262"/>
      <c r="K122" s="263">
        <f>SUM(K123:K134)</f>
        <v>0</v>
      </c>
      <c r="L122" s="264">
        <f>SUM(L123:L134)</f>
        <v>0</v>
      </c>
      <c r="M122" s="265">
        <f>L122+K122</f>
        <v>0</v>
      </c>
      <c r="N122" s="315"/>
      <c r="O122" s="24"/>
      <c r="P122" s="24"/>
      <c r="Q122" s="22"/>
      <c r="R122" s="22"/>
      <c r="S122" s="22"/>
      <c r="T122" s="22"/>
      <c r="U122" s="22"/>
      <c r="V122" s="22"/>
      <c r="W122" s="22"/>
      <c r="X122" s="22"/>
      <c r="Y122" s="22"/>
      <c r="Z122" s="22"/>
      <c r="AA122" s="22"/>
      <c r="AB122" s="22"/>
      <c r="AC122" s="22"/>
      <c r="AD122" s="22"/>
      <c r="AE122" s="22"/>
      <c r="AF122" s="22"/>
      <c r="AG122" s="22"/>
      <c r="AH122" s="22"/>
      <c r="AI122" s="22"/>
      <c r="AJ122" s="22"/>
      <c r="AK122" s="22"/>
      <c r="AL122" s="22"/>
      <c r="AM122" s="22"/>
      <c r="AN122" s="22"/>
      <c r="AO122" s="22"/>
      <c r="AP122" s="22"/>
      <c r="AQ122" s="22"/>
      <c r="AR122" s="22"/>
      <c r="AS122" s="22"/>
      <c r="AT122" s="22"/>
      <c r="AU122" s="22"/>
      <c r="AV122" s="22"/>
      <c r="AW122" s="22"/>
      <c r="AX122" s="22"/>
      <c r="AY122" s="22"/>
      <c r="AZ122" s="22"/>
      <c r="BA122" s="22"/>
      <c r="BB122" s="22"/>
      <c r="BC122" s="22"/>
      <c r="BD122" s="22"/>
      <c r="BE122" s="22"/>
      <c r="BF122" s="22"/>
      <c r="BG122" s="22"/>
      <c r="BH122" s="22"/>
      <c r="BI122" s="22"/>
      <c r="BJ122" s="22"/>
      <c r="BK122" s="22"/>
      <c r="BL122" s="22"/>
      <c r="BM122" s="22"/>
      <c r="BN122" s="22"/>
      <c r="BO122" s="22"/>
      <c r="BP122" s="22"/>
      <c r="BQ122" s="22"/>
      <c r="BR122" s="22"/>
      <c r="BS122" s="22"/>
      <c r="BT122" s="22"/>
    </row>
    <row r="123" spans="1:72" s="23" customFormat="1" ht="60" customHeight="1" outlineLevel="1" x14ac:dyDescent="0.25">
      <c r="A123" s="333" t="s">
        <v>356</v>
      </c>
      <c r="B123" s="313"/>
      <c r="C123" s="420" t="s">
        <v>183</v>
      </c>
      <c r="D123" s="313">
        <v>0.05</v>
      </c>
      <c r="E123" s="313" t="s">
        <v>27</v>
      </c>
      <c r="F123" s="319"/>
      <c r="G123" s="123">
        <f>G122</f>
        <v>210.8</v>
      </c>
      <c r="H123" s="124">
        <f>H124*$G124/$G123</f>
        <v>0</v>
      </c>
      <c r="I123" s="134"/>
      <c r="J123" s="128">
        <f>H123+I123</f>
        <v>0</v>
      </c>
      <c r="K123" s="129">
        <f>G123*H123</f>
        <v>0</v>
      </c>
      <c r="L123" s="130">
        <f>G123*I123</f>
        <v>0</v>
      </c>
      <c r="M123" s="128">
        <f>L123+K123</f>
        <v>0</v>
      </c>
      <c r="N123" s="135"/>
      <c r="O123" s="24"/>
      <c r="P123" s="21"/>
      <c r="Q123" s="22"/>
      <c r="R123" s="22"/>
      <c r="S123" s="22"/>
      <c r="T123" s="22"/>
      <c r="U123" s="22"/>
      <c r="V123" s="22"/>
      <c r="W123" s="22"/>
      <c r="X123" s="22"/>
      <c r="Y123" s="22"/>
      <c r="Z123" s="22"/>
      <c r="AA123" s="22"/>
      <c r="AB123" s="22"/>
      <c r="AC123" s="22"/>
      <c r="AD123" s="22"/>
      <c r="AE123" s="22"/>
      <c r="AF123" s="22"/>
      <c r="AG123" s="22"/>
      <c r="AH123" s="22"/>
      <c r="AI123" s="22"/>
      <c r="AJ123" s="22"/>
      <c r="AK123" s="22"/>
      <c r="AL123" s="22"/>
      <c r="AM123" s="22"/>
      <c r="AN123" s="22"/>
      <c r="AO123" s="22"/>
      <c r="AP123" s="22"/>
      <c r="AQ123" s="22"/>
      <c r="AR123" s="22"/>
      <c r="AS123" s="22"/>
      <c r="AT123" s="22"/>
      <c r="AU123" s="22"/>
      <c r="AV123" s="22"/>
      <c r="AW123" s="22"/>
      <c r="AX123" s="22"/>
      <c r="AY123" s="22"/>
      <c r="AZ123" s="22"/>
      <c r="BA123" s="22"/>
      <c r="BB123" s="22"/>
      <c r="BC123" s="22"/>
      <c r="BD123" s="22"/>
      <c r="BE123" s="22"/>
      <c r="BF123" s="22"/>
      <c r="BG123" s="22"/>
      <c r="BH123" s="22"/>
      <c r="BI123" s="22"/>
      <c r="BJ123" s="22"/>
      <c r="BK123" s="22"/>
      <c r="BL123" s="22"/>
      <c r="BM123" s="22"/>
      <c r="BN123" s="22"/>
      <c r="BO123" s="22"/>
      <c r="BP123" s="22"/>
      <c r="BQ123" s="22"/>
      <c r="BR123" s="22"/>
      <c r="BS123" s="22"/>
      <c r="BT123" s="22"/>
    </row>
    <row r="124" spans="1:72" s="23" customFormat="1" ht="42.75" customHeight="1" outlineLevel="1" x14ac:dyDescent="0.25">
      <c r="A124" s="334" t="s">
        <v>357</v>
      </c>
      <c r="B124" s="321"/>
      <c r="C124" s="324" t="s">
        <v>184</v>
      </c>
      <c r="D124" s="317"/>
      <c r="E124" s="317" t="s">
        <v>33</v>
      </c>
      <c r="F124" s="320">
        <f>D123*2.4</f>
        <v>0.12</v>
      </c>
      <c r="G124" s="125">
        <f>F124*G123</f>
        <v>25.3</v>
      </c>
      <c r="H124" s="126"/>
      <c r="I124" s="133"/>
      <c r="J124" s="131"/>
      <c r="K124" s="132"/>
      <c r="L124" s="133"/>
      <c r="M124" s="131"/>
      <c r="N124" s="127"/>
      <c r="O124" s="21"/>
      <c r="P124" s="21"/>
      <c r="Q124" s="22"/>
      <c r="R124" s="22"/>
      <c r="S124" s="22"/>
      <c r="T124" s="22"/>
      <c r="U124" s="22"/>
      <c r="V124" s="22"/>
      <c r="W124" s="22"/>
      <c r="X124" s="22"/>
      <c r="Y124" s="22"/>
      <c r="Z124" s="22"/>
      <c r="AA124" s="22"/>
      <c r="AB124" s="22"/>
      <c r="AC124" s="22"/>
      <c r="AD124" s="22"/>
      <c r="AE124" s="22"/>
      <c r="AF124" s="22"/>
      <c r="AG124" s="22"/>
      <c r="AH124" s="22"/>
      <c r="AI124" s="22"/>
      <c r="AJ124" s="22"/>
      <c r="AK124" s="22"/>
      <c r="AL124" s="22"/>
      <c r="AM124" s="22"/>
      <c r="AN124" s="22"/>
      <c r="AO124" s="22"/>
      <c r="AP124" s="22"/>
      <c r="AQ124" s="22"/>
      <c r="AR124" s="22"/>
      <c r="AS124" s="22"/>
      <c r="AT124" s="22"/>
      <c r="AU124" s="22"/>
      <c r="AV124" s="22"/>
      <c r="AW124" s="22"/>
      <c r="AX124" s="22"/>
      <c r="AY124" s="22"/>
      <c r="AZ124" s="22"/>
      <c r="BA124" s="22"/>
      <c r="BB124" s="22"/>
      <c r="BC124" s="22"/>
      <c r="BD124" s="22"/>
      <c r="BE124" s="22"/>
      <c r="BF124" s="22"/>
      <c r="BG124" s="22"/>
      <c r="BH124" s="22"/>
      <c r="BI124" s="22"/>
      <c r="BJ124" s="22"/>
      <c r="BK124" s="22"/>
      <c r="BL124" s="22"/>
      <c r="BM124" s="22"/>
      <c r="BN124" s="22"/>
      <c r="BO124" s="22"/>
      <c r="BP124" s="22"/>
      <c r="BQ124" s="22"/>
      <c r="BR124" s="22"/>
      <c r="BS124" s="22"/>
      <c r="BT124" s="22"/>
    </row>
    <row r="125" spans="1:72" s="439" customFormat="1" ht="59.25" customHeight="1" outlineLevel="1" x14ac:dyDescent="0.25">
      <c r="A125" s="333" t="s">
        <v>358</v>
      </c>
      <c r="B125" s="313"/>
      <c r="C125" s="420" t="s">
        <v>156</v>
      </c>
      <c r="D125" s="313">
        <v>0.1</v>
      </c>
      <c r="E125" s="313" t="s">
        <v>27</v>
      </c>
      <c r="F125" s="319"/>
      <c r="G125" s="125">
        <f>G122</f>
        <v>210.8</v>
      </c>
      <c r="H125" s="124">
        <f>H126*$G126/$G125</f>
        <v>0</v>
      </c>
      <c r="I125" s="134"/>
      <c r="J125" s="128">
        <f>H125+I125</f>
        <v>0</v>
      </c>
      <c r="K125" s="129">
        <f>G125*H125</f>
        <v>0</v>
      </c>
      <c r="L125" s="130">
        <f>G125*I125</f>
        <v>0</v>
      </c>
      <c r="M125" s="128">
        <f>L125+K125</f>
        <v>0</v>
      </c>
      <c r="N125" s="135"/>
      <c r="O125" s="422"/>
      <c r="P125" s="422"/>
      <c r="Q125" s="438"/>
      <c r="R125" s="438"/>
      <c r="S125" s="438"/>
      <c r="T125" s="438"/>
      <c r="U125" s="438"/>
      <c r="V125" s="438"/>
      <c r="W125" s="438"/>
      <c r="X125" s="438"/>
      <c r="Y125" s="438"/>
      <c r="Z125" s="438"/>
      <c r="AA125" s="438"/>
      <c r="AB125" s="438"/>
      <c r="AC125" s="438"/>
      <c r="AD125" s="438"/>
      <c r="AE125" s="438"/>
      <c r="AF125" s="438"/>
      <c r="AG125" s="438"/>
      <c r="AH125" s="438"/>
      <c r="AI125" s="438"/>
      <c r="AJ125" s="438"/>
      <c r="AK125" s="438"/>
      <c r="AL125" s="438"/>
      <c r="AM125" s="438"/>
      <c r="AN125" s="438"/>
      <c r="AO125" s="438"/>
      <c r="AP125" s="438"/>
      <c r="AQ125" s="438"/>
      <c r="AR125" s="438"/>
      <c r="AS125" s="438"/>
      <c r="AT125" s="438"/>
      <c r="AU125" s="438"/>
      <c r="AV125" s="438"/>
      <c r="AW125" s="438"/>
      <c r="AX125" s="438"/>
      <c r="AY125" s="438"/>
      <c r="AZ125" s="438"/>
      <c r="BA125" s="438"/>
      <c r="BB125" s="438"/>
      <c r="BC125" s="438"/>
      <c r="BD125" s="438"/>
      <c r="BE125" s="438"/>
      <c r="BF125" s="438"/>
      <c r="BG125" s="438"/>
      <c r="BH125" s="438"/>
      <c r="BI125" s="438"/>
      <c r="BJ125" s="438"/>
      <c r="BK125" s="438"/>
      <c r="BL125" s="438"/>
      <c r="BM125" s="438"/>
      <c r="BN125" s="438"/>
      <c r="BO125" s="438"/>
      <c r="BP125" s="438"/>
      <c r="BQ125" s="438"/>
      <c r="BR125" s="438"/>
      <c r="BS125" s="438"/>
      <c r="BT125" s="438"/>
    </row>
    <row r="126" spans="1:72" s="439" customFormat="1" ht="58.5" customHeight="1" outlineLevel="1" x14ac:dyDescent="0.25">
      <c r="A126" s="334" t="s">
        <v>359</v>
      </c>
      <c r="B126" s="321"/>
      <c r="C126" s="316" t="s">
        <v>157</v>
      </c>
      <c r="D126" s="317"/>
      <c r="E126" s="318" t="s">
        <v>33</v>
      </c>
      <c r="F126" s="318">
        <f>D125*2.4</f>
        <v>0.24</v>
      </c>
      <c r="G126" s="125">
        <f>G125*F126</f>
        <v>50.59</v>
      </c>
      <c r="H126" s="126"/>
      <c r="I126" s="133"/>
      <c r="J126" s="131"/>
      <c r="K126" s="132"/>
      <c r="L126" s="133"/>
      <c r="M126" s="131"/>
      <c r="N126" s="127"/>
      <c r="O126" s="422"/>
      <c r="P126" s="422"/>
      <c r="Q126" s="438"/>
      <c r="R126" s="438"/>
      <c r="S126" s="438"/>
      <c r="T126" s="438"/>
      <c r="U126" s="438"/>
      <c r="V126" s="438"/>
      <c r="W126" s="438"/>
      <c r="X126" s="438"/>
      <c r="Y126" s="438"/>
      <c r="Z126" s="438"/>
      <c r="AA126" s="438"/>
      <c r="AB126" s="438"/>
      <c r="AC126" s="438"/>
      <c r="AD126" s="438"/>
      <c r="AE126" s="438"/>
      <c r="AF126" s="438"/>
      <c r="AG126" s="438"/>
      <c r="AH126" s="438"/>
      <c r="AI126" s="438"/>
      <c r="AJ126" s="438"/>
      <c r="AK126" s="438"/>
      <c r="AL126" s="438"/>
      <c r="AM126" s="438"/>
      <c r="AN126" s="438"/>
      <c r="AO126" s="438"/>
      <c r="AP126" s="438"/>
      <c r="AQ126" s="438"/>
      <c r="AR126" s="438"/>
      <c r="AS126" s="438"/>
      <c r="AT126" s="438"/>
      <c r="AU126" s="438"/>
      <c r="AV126" s="438"/>
      <c r="AW126" s="438"/>
      <c r="AX126" s="438"/>
      <c r="AY126" s="438"/>
      <c r="AZ126" s="438"/>
      <c r="BA126" s="438"/>
      <c r="BB126" s="438"/>
      <c r="BC126" s="438"/>
      <c r="BD126" s="438"/>
      <c r="BE126" s="438"/>
      <c r="BF126" s="438"/>
      <c r="BG126" s="438"/>
      <c r="BH126" s="438"/>
      <c r="BI126" s="438"/>
      <c r="BJ126" s="438"/>
      <c r="BK126" s="438"/>
      <c r="BL126" s="438"/>
      <c r="BM126" s="438"/>
      <c r="BN126" s="438"/>
      <c r="BO126" s="438"/>
      <c r="BP126" s="438"/>
      <c r="BQ126" s="438"/>
      <c r="BR126" s="438"/>
      <c r="BS126" s="438"/>
      <c r="BT126" s="438"/>
    </row>
    <row r="127" spans="1:72" s="23" customFormat="1" ht="41.25" customHeight="1" outlineLevel="1" x14ac:dyDescent="0.25">
      <c r="A127" s="333" t="s">
        <v>360</v>
      </c>
      <c r="B127" s="313"/>
      <c r="C127" s="312" t="s">
        <v>158</v>
      </c>
      <c r="D127" s="313">
        <v>0.4</v>
      </c>
      <c r="E127" s="313" t="s">
        <v>25</v>
      </c>
      <c r="F127" s="319"/>
      <c r="G127" s="330">
        <f>G122*D127</f>
        <v>84.3</v>
      </c>
      <c r="H127" s="124">
        <f>H128*$G128/$G127</f>
        <v>0</v>
      </c>
      <c r="I127" s="134"/>
      <c r="J127" s="128">
        <f>H127+I127</f>
        <v>0</v>
      </c>
      <c r="K127" s="129">
        <f>G127*H127</f>
        <v>0</v>
      </c>
      <c r="L127" s="130">
        <f>G127*I127</f>
        <v>0</v>
      </c>
      <c r="M127" s="128">
        <f>L127+K127</f>
        <v>0</v>
      </c>
      <c r="N127" s="298"/>
      <c r="O127" s="233"/>
      <c r="P127" s="231"/>
      <c r="Q127" s="232"/>
      <c r="R127" s="232"/>
      <c r="S127" s="232"/>
      <c r="T127" s="232"/>
      <c r="U127" s="232"/>
      <c r="V127" s="232"/>
      <c r="W127" s="232"/>
      <c r="X127" s="232"/>
      <c r="Y127" s="232"/>
      <c r="Z127" s="232"/>
      <c r="AA127" s="22"/>
      <c r="AB127" s="22"/>
      <c r="AC127" s="22"/>
      <c r="AD127" s="22"/>
      <c r="AE127" s="22"/>
      <c r="AF127" s="22"/>
      <c r="AG127" s="22"/>
      <c r="AH127" s="22"/>
      <c r="AI127" s="22"/>
      <c r="AJ127" s="22"/>
      <c r="AK127" s="22"/>
      <c r="AL127" s="22"/>
      <c r="AM127" s="22"/>
      <c r="AN127" s="22"/>
      <c r="AO127" s="22"/>
      <c r="AP127" s="22"/>
      <c r="AQ127" s="22"/>
      <c r="AR127" s="22"/>
      <c r="AS127" s="22"/>
      <c r="AT127" s="22"/>
      <c r="AU127" s="22"/>
      <c r="AV127" s="22"/>
      <c r="AW127" s="22"/>
      <c r="AX127" s="22"/>
      <c r="AY127" s="22"/>
      <c r="AZ127" s="22"/>
      <c r="BA127" s="22"/>
      <c r="BB127" s="22"/>
      <c r="BC127" s="22"/>
      <c r="BD127" s="22"/>
      <c r="BE127" s="22"/>
      <c r="BF127" s="22"/>
      <c r="BG127" s="22"/>
      <c r="BH127" s="22"/>
      <c r="BI127" s="22"/>
      <c r="BJ127" s="22"/>
      <c r="BK127" s="22"/>
      <c r="BL127" s="22"/>
      <c r="BM127" s="22"/>
      <c r="BN127" s="22"/>
      <c r="BO127" s="22"/>
      <c r="BP127" s="22"/>
      <c r="BQ127" s="22"/>
      <c r="BR127" s="22"/>
      <c r="BS127" s="22"/>
      <c r="BT127" s="22"/>
    </row>
    <row r="128" spans="1:72" s="23" customFormat="1" ht="27.95" customHeight="1" outlineLevel="1" x14ac:dyDescent="0.25">
      <c r="A128" s="334" t="s">
        <v>361</v>
      </c>
      <c r="B128" s="321">
        <v>4100006709</v>
      </c>
      <c r="C128" s="316" t="s">
        <v>34</v>
      </c>
      <c r="D128" s="317"/>
      <c r="E128" s="318" t="s">
        <v>25</v>
      </c>
      <c r="F128" s="318">
        <v>1.24</v>
      </c>
      <c r="G128" s="125">
        <f>(G127+16.4)*F128</f>
        <v>124.87</v>
      </c>
      <c r="H128" s="126"/>
      <c r="I128" s="133"/>
      <c r="J128" s="131"/>
      <c r="K128" s="132"/>
      <c r="L128" s="133"/>
      <c r="M128" s="131"/>
      <c r="N128" s="331" t="s">
        <v>35</v>
      </c>
      <c r="O128" s="233"/>
      <c r="P128" s="233"/>
      <c r="Q128" s="232"/>
      <c r="R128" s="232"/>
      <c r="S128" s="232"/>
      <c r="T128" s="232"/>
      <c r="U128" s="232"/>
      <c r="V128" s="232"/>
      <c r="W128" s="232"/>
      <c r="X128" s="232"/>
      <c r="Y128" s="232"/>
      <c r="Z128" s="232"/>
      <c r="AA128" s="22"/>
      <c r="AB128" s="22"/>
      <c r="AC128" s="22"/>
      <c r="AD128" s="22"/>
      <c r="AE128" s="22"/>
      <c r="AF128" s="22"/>
      <c r="AG128" s="22"/>
      <c r="AH128" s="22"/>
      <c r="AI128" s="22"/>
      <c r="AJ128" s="22"/>
      <c r="AK128" s="22"/>
      <c r="AL128" s="22"/>
      <c r="AM128" s="22"/>
      <c r="AN128" s="22"/>
      <c r="AO128" s="22"/>
      <c r="AP128" s="22"/>
      <c r="AQ128" s="22"/>
      <c r="AR128" s="22"/>
      <c r="AS128" s="22"/>
      <c r="AT128" s="22"/>
      <c r="AU128" s="22"/>
      <c r="AV128" s="22"/>
      <c r="AW128" s="22"/>
      <c r="AX128" s="22"/>
      <c r="AY128" s="22"/>
      <c r="AZ128" s="22"/>
      <c r="BA128" s="22"/>
      <c r="BB128" s="22"/>
      <c r="BC128" s="22"/>
      <c r="BD128" s="22"/>
      <c r="BE128" s="22"/>
      <c r="BF128" s="22"/>
      <c r="BG128" s="22"/>
      <c r="BH128" s="22"/>
      <c r="BI128" s="22"/>
      <c r="BJ128" s="22"/>
      <c r="BK128" s="22"/>
      <c r="BL128" s="22"/>
      <c r="BM128" s="22"/>
      <c r="BN128" s="22"/>
      <c r="BO128" s="22"/>
      <c r="BP128" s="22"/>
      <c r="BQ128" s="22"/>
      <c r="BR128" s="22"/>
      <c r="BS128" s="22"/>
      <c r="BT128" s="22"/>
    </row>
    <row r="129" spans="1:72" s="23" customFormat="1" ht="39.950000000000003" customHeight="1" outlineLevel="1" x14ac:dyDescent="0.25">
      <c r="A129" s="333" t="s">
        <v>362</v>
      </c>
      <c r="B129" s="313"/>
      <c r="C129" s="312" t="s">
        <v>159</v>
      </c>
      <c r="D129" s="322">
        <v>0.4</v>
      </c>
      <c r="E129" s="313" t="s">
        <v>25</v>
      </c>
      <c r="F129" s="319"/>
      <c r="G129" s="123">
        <f>G122*D129</f>
        <v>84.32</v>
      </c>
      <c r="H129" s="124">
        <f>H130*$G130/$G129</f>
        <v>0</v>
      </c>
      <c r="I129" s="134"/>
      <c r="J129" s="128">
        <f>H129+I129</f>
        <v>0</v>
      </c>
      <c r="K129" s="129">
        <f>G129*H129</f>
        <v>0</v>
      </c>
      <c r="L129" s="130">
        <f>G129*I129</f>
        <v>0</v>
      </c>
      <c r="M129" s="128">
        <f>L129+K129</f>
        <v>0</v>
      </c>
      <c r="N129" s="135"/>
      <c r="O129" s="21"/>
      <c r="P129" s="21"/>
      <c r="Q129" s="22"/>
      <c r="R129" s="22"/>
      <c r="S129" s="22"/>
      <c r="T129" s="22"/>
      <c r="U129" s="22"/>
      <c r="V129" s="22"/>
      <c r="W129" s="22"/>
      <c r="X129" s="22"/>
      <c r="Y129" s="22"/>
      <c r="Z129" s="22"/>
      <c r="AA129" s="22"/>
      <c r="AB129" s="22"/>
      <c r="AC129" s="22"/>
      <c r="AD129" s="22"/>
      <c r="AE129" s="22"/>
      <c r="AF129" s="22"/>
      <c r="AG129" s="22"/>
      <c r="AH129" s="22"/>
      <c r="AI129" s="22"/>
      <c r="AJ129" s="22"/>
      <c r="AK129" s="22"/>
      <c r="AL129" s="22"/>
      <c r="AM129" s="22"/>
      <c r="AN129" s="22"/>
      <c r="AO129" s="22"/>
      <c r="AP129" s="22"/>
      <c r="AQ129" s="22"/>
      <c r="AR129" s="22"/>
      <c r="AS129" s="22"/>
      <c r="AT129" s="22"/>
      <c r="AU129" s="22"/>
      <c r="AV129" s="22"/>
      <c r="AW129" s="22"/>
      <c r="AX129" s="22"/>
      <c r="AY129" s="22"/>
      <c r="AZ129" s="22"/>
      <c r="BA129" s="22"/>
      <c r="BB129" s="22"/>
      <c r="BC129" s="22"/>
      <c r="BD129" s="22"/>
      <c r="BE129" s="22"/>
      <c r="BF129" s="22"/>
      <c r="BG129" s="22"/>
      <c r="BH129" s="22"/>
      <c r="BI129" s="22"/>
      <c r="BJ129" s="22"/>
      <c r="BK129" s="22"/>
      <c r="BL129" s="22"/>
      <c r="BM129" s="22"/>
      <c r="BN129" s="22"/>
      <c r="BO129" s="22"/>
      <c r="BP129" s="22"/>
      <c r="BQ129" s="22"/>
      <c r="BR129" s="22"/>
      <c r="BS129" s="22"/>
      <c r="BT129" s="22"/>
    </row>
    <row r="130" spans="1:72" s="23" customFormat="1" ht="27.95" customHeight="1" outlineLevel="1" x14ac:dyDescent="0.25">
      <c r="A130" s="334" t="s">
        <v>363</v>
      </c>
      <c r="B130" s="321">
        <v>4100008584</v>
      </c>
      <c r="C130" s="316" t="s">
        <v>28</v>
      </c>
      <c r="D130" s="317"/>
      <c r="E130" s="318" t="s">
        <v>25</v>
      </c>
      <c r="F130" s="318">
        <v>1.1000000000000001</v>
      </c>
      <c r="G130" s="125">
        <f>(G129+32.8)*F130</f>
        <v>128.83000000000001</v>
      </c>
      <c r="H130" s="126"/>
      <c r="I130" s="133"/>
      <c r="J130" s="131"/>
      <c r="K130" s="132"/>
      <c r="L130" s="133"/>
      <c r="M130" s="131"/>
      <c r="N130" s="127" t="s">
        <v>29</v>
      </c>
      <c r="O130" s="21"/>
      <c r="P130" s="21"/>
      <c r="Q130" s="22"/>
      <c r="R130" s="22"/>
      <c r="S130" s="22"/>
      <c r="T130" s="22"/>
      <c r="U130" s="22"/>
      <c r="V130" s="22"/>
      <c r="W130" s="22"/>
      <c r="X130" s="22"/>
      <c r="Y130" s="22"/>
      <c r="Z130" s="22"/>
      <c r="AA130" s="22"/>
      <c r="AB130" s="22"/>
      <c r="AC130" s="22"/>
      <c r="AD130" s="22"/>
      <c r="AE130" s="22"/>
      <c r="AF130" s="22"/>
      <c r="AG130" s="22"/>
      <c r="AH130" s="22"/>
      <c r="AI130" s="22"/>
      <c r="AJ130" s="22"/>
      <c r="AK130" s="22"/>
      <c r="AL130" s="22"/>
      <c r="AM130" s="22"/>
      <c r="AN130" s="22"/>
      <c r="AO130" s="22"/>
      <c r="AP130" s="22"/>
      <c r="AQ130" s="22"/>
      <c r="AR130" s="22"/>
      <c r="AS130" s="22"/>
      <c r="AT130" s="22"/>
      <c r="AU130" s="22"/>
      <c r="AV130" s="22"/>
      <c r="AW130" s="22"/>
      <c r="AX130" s="22"/>
      <c r="AY130" s="22"/>
      <c r="AZ130" s="22"/>
      <c r="BA130" s="22"/>
      <c r="BB130" s="22"/>
      <c r="BC130" s="22"/>
      <c r="BD130" s="22"/>
      <c r="BE130" s="22"/>
      <c r="BF130" s="22"/>
      <c r="BG130" s="22"/>
      <c r="BH130" s="22"/>
      <c r="BI130" s="22"/>
      <c r="BJ130" s="22"/>
      <c r="BK130" s="22"/>
      <c r="BL130" s="22"/>
      <c r="BM130" s="22"/>
      <c r="BN130" s="22"/>
      <c r="BO130" s="22"/>
      <c r="BP130" s="22"/>
      <c r="BQ130" s="22"/>
      <c r="BR130" s="22"/>
      <c r="BS130" s="22"/>
      <c r="BT130" s="22"/>
    </row>
    <row r="131" spans="1:72" s="23" customFormat="1" ht="27.95" customHeight="1" outlineLevel="1" x14ac:dyDescent="0.25">
      <c r="A131" s="333" t="s">
        <v>364</v>
      </c>
      <c r="B131" s="313"/>
      <c r="C131" s="300" t="s">
        <v>37</v>
      </c>
      <c r="D131" s="313"/>
      <c r="E131" s="313" t="s">
        <v>27</v>
      </c>
      <c r="F131" s="319"/>
      <c r="G131" s="123">
        <f>G122</f>
        <v>210.8</v>
      </c>
      <c r="H131" s="124">
        <f>H132*$G132/$G131</f>
        <v>0</v>
      </c>
      <c r="I131" s="134"/>
      <c r="J131" s="128">
        <f>H131+I131</f>
        <v>0</v>
      </c>
      <c r="K131" s="129">
        <f>G131*H131</f>
        <v>0</v>
      </c>
      <c r="L131" s="130">
        <f>G131*I131</f>
        <v>0</v>
      </c>
      <c r="M131" s="128">
        <f>L131+K131</f>
        <v>0</v>
      </c>
      <c r="N131" s="127"/>
      <c r="O131" s="25"/>
      <c r="P131" s="21"/>
      <c r="Q131" s="22"/>
      <c r="R131" s="22"/>
      <c r="S131" s="22"/>
      <c r="T131" s="22"/>
      <c r="U131" s="22"/>
      <c r="V131" s="22"/>
      <c r="W131" s="22"/>
      <c r="X131" s="22"/>
      <c r="Y131" s="22"/>
      <c r="Z131" s="22"/>
      <c r="AA131" s="22"/>
      <c r="AB131" s="22"/>
      <c r="AC131" s="22"/>
      <c r="AD131" s="22"/>
      <c r="AE131" s="22"/>
      <c r="AF131" s="22"/>
      <c r="AG131" s="22"/>
      <c r="AH131" s="22"/>
      <c r="AI131" s="22"/>
      <c r="AJ131" s="22"/>
      <c r="AK131" s="22"/>
      <c r="AL131" s="22"/>
      <c r="AM131" s="22"/>
      <c r="AN131" s="22"/>
      <c r="AO131" s="22"/>
      <c r="AP131" s="22"/>
      <c r="AQ131" s="22"/>
      <c r="AR131" s="22"/>
      <c r="AS131" s="22"/>
      <c r="AT131" s="22"/>
      <c r="AU131" s="22"/>
      <c r="AV131" s="22"/>
      <c r="AW131" s="22"/>
      <c r="AX131" s="22"/>
      <c r="AY131" s="22"/>
      <c r="AZ131" s="22"/>
      <c r="BA131" s="22"/>
      <c r="BB131" s="22"/>
      <c r="BC131" s="22"/>
      <c r="BD131" s="22"/>
      <c r="BE131" s="22"/>
      <c r="BF131" s="22"/>
      <c r="BG131" s="22"/>
      <c r="BH131" s="22"/>
      <c r="BI131" s="22"/>
      <c r="BJ131" s="22"/>
      <c r="BK131" s="22"/>
      <c r="BL131" s="22"/>
      <c r="BM131" s="22"/>
      <c r="BN131" s="22"/>
      <c r="BO131" s="22"/>
      <c r="BP131" s="22"/>
      <c r="BQ131" s="22"/>
      <c r="BR131" s="22"/>
      <c r="BS131" s="22"/>
      <c r="BT131" s="22"/>
    </row>
    <row r="132" spans="1:72" s="23" customFormat="1" ht="27.95" customHeight="1" outlineLevel="1" x14ac:dyDescent="0.25">
      <c r="A132" s="334" t="s">
        <v>365</v>
      </c>
      <c r="B132" s="323">
        <v>4100009584</v>
      </c>
      <c r="C132" s="324" t="s">
        <v>249</v>
      </c>
      <c r="D132" s="317"/>
      <c r="E132" s="318" t="s">
        <v>27</v>
      </c>
      <c r="F132" s="318">
        <v>1.1000000000000001</v>
      </c>
      <c r="G132" s="125">
        <f>(G131+158.1)*F132</f>
        <v>405.79</v>
      </c>
      <c r="H132" s="325"/>
      <c r="I132" s="326"/>
      <c r="J132" s="327"/>
      <c r="K132" s="328"/>
      <c r="L132" s="326"/>
      <c r="M132" s="327"/>
      <c r="N132" s="329" t="s">
        <v>29</v>
      </c>
      <c r="O132" s="233"/>
      <c r="P132" s="25"/>
      <c r="Q132" s="22"/>
      <c r="R132" s="22"/>
      <c r="S132" s="22"/>
      <c r="T132" s="22"/>
      <c r="U132" s="22"/>
      <c r="V132" s="22"/>
      <c r="W132" s="22"/>
      <c r="X132" s="22"/>
      <c r="Y132" s="22"/>
      <c r="Z132" s="22"/>
      <c r="AA132" s="22"/>
      <c r="AB132" s="22"/>
      <c r="AC132" s="22"/>
      <c r="AD132" s="22"/>
      <c r="AE132" s="22"/>
      <c r="AF132" s="22"/>
      <c r="AG132" s="22"/>
      <c r="AH132" s="22"/>
      <c r="AI132" s="22"/>
      <c r="AJ132" s="22"/>
      <c r="AK132" s="22"/>
      <c r="AL132" s="22"/>
      <c r="AM132" s="22"/>
      <c r="AN132" s="22"/>
      <c r="AO132" s="22"/>
      <c r="AP132" s="22"/>
      <c r="AQ132" s="22"/>
      <c r="AR132" s="22"/>
      <c r="AS132" s="22"/>
      <c r="AT132" s="22"/>
      <c r="AU132" s="22"/>
      <c r="AV132" s="22"/>
      <c r="AW132" s="22"/>
      <c r="AX132" s="22"/>
      <c r="AY132" s="22"/>
      <c r="AZ132" s="22"/>
      <c r="BA132" s="22"/>
      <c r="BB132" s="22"/>
      <c r="BC132" s="22"/>
      <c r="BD132" s="22"/>
      <c r="BE132" s="22"/>
      <c r="BF132" s="22"/>
      <c r="BG132" s="22"/>
      <c r="BH132" s="22"/>
      <c r="BI132" s="22"/>
      <c r="BJ132" s="22"/>
      <c r="BK132" s="22"/>
      <c r="BL132" s="22"/>
      <c r="BM132" s="22"/>
      <c r="BN132" s="22"/>
      <c r="BO132" s="22"/>
      <c r="BP132" s="22"/>
      <c r="BQ132" s="22"/>
      <c r="BR132" s="22"/>
      <c r="BS132" s="22"/>
      <c r="BT132" s="22"/>
    </row>
    <row r="133" spans="1:72" s="23" customFormat="1" ht="39.950000000000003" customHeight="1" outlineLevel="1" x14ac:dyDescent="0.25">
      <c r="A133" s="333" t="s">
        <v>366</v>
      </c>
      <c r="B133" s="313"/>
      <c r="C133" s="312" t="s">
        <v>173</v>
      </c>
      <c r="D133" s="322">
        <v>0.57999999999999996</v>
      </c>
      <c r="E133" s="313" t="s">
        <v>25</v>
      </c>
      <c r="F133" s="319"/>
      <c r="G133" s="123">
        <f>G122*D133</f>
        <v>122.26</v>
      </c>
      <c r="H133" s="124">
        <f>H134*$G134/$G133</f>
        <v>0</v>
      </c>
      <c r="I133" s="134"/>
      <c r="J133" s="128">
        <f>H133+I133</f>
        <v>0</v>
      </c>
      <c r="K133" s="129">
        <f>G133*H133</f>
        <v>0</v>
      </c>
      <c r="L133" s="130">
        <f>G133*I133</f>
        <v>0</v>
      </c>
      <c r="M133" s="128">
        <f>L133+K133</f>
        <v>0</v>
      </c>
      <c r="N133" s="127"/>
      <c r="O133" s="25"/>
      <c r="P133" s="21"/>
      <c r="Q133" s="22"/>
      <c r="R133" s="22"/>
      <c r="S133" s="22"/>
      <c r="T133" s="22"/>
      <c r="U133" s="22"/>
      <c r="V133" s="22"/>
      <c r="W133" s="22"/>
      <c r="X133" s="22"/>
      <c r="Y133" s="22"/>
      <c r="Z133" s="22"/>
      <c r="AA133" s="22"/>
      <c r="AB133" s="22"/>
      <c r="AC133" s="22"/>
      <c r="AD133" s="22"/>
      <c r="AE133" s="22"/>
      <c r="AF133" s="22"/>
      <c r="AG133" s="22"/>
      <c r="AH133" s="22"/>
      <c r="AI133" s="22"/>
      <c r="AJ133" s="22"/>
      <c r="AK133" s="22"/>
      <c r="AL133" s="22"/>
      <c r="AM133" s="22"/>
      <c r="AN133" s="22"/>
      <c r="AO133" s="22"/>
      <c r="AP133" s="22"/>
      <c r="AQ133" s="22"/>
      <c r="AR133" s="22"/>
      <c r="AS133" s="22"/>
      <c r="AT133" s="22"/>
      <c r="AU133" s="22"/>
      <c r="AV133" s="22"/>
      <c r="AW133" s="22"/>
      <c r="AX133" s="22"/>
      <c r="AY133" s="22"/>
      <c r="AZ133" s="22"/>
      <c r="BA133" s="22"/>
      <c r="BB133" s="22"/>
      <c r="BC133" s="22"/>
      <c r="BD133" s="22"/>
      <c r="BE133" s="22"/>
      <c r="BF133" s="22"/>
      <c r="BG133" s="22"/>
      <c r="BH133" s="22"/>
      <c r="BI133" s="22"/>
      <c r="BJ133" s="22"/>
      <c r="BK133" s="22"/>
      <c r="BL133" s="22"/>
      <c r="BM133" s="22"/>
      <c r="BN133" s="22"/>
      <c r="BO133" s="22"/>
      <c r="BP133" s="22"/>
      <c r="BQ133" s="22"/>
      <c r="BR133" s="22"/>
      <c r="BS133" s="22"/>
      <c r="BT133" s="22"/>
    </row>
    <row r="134" spans="1:72" s="23" customFormat="1" ht="27.95" customHeight="1" outlineLevel="1" x14ac:dyDescent="0.25">
      <c r="A134" s="334" t="s">
        <v>367</v>
      </c>
      <c r="B134" s="321">
        <v>4100008584</v>
      </c>
      <c r="C134" s="316" t="s">
        <v>28</v>
      </c>
      <c r="D134" s="317"/>
      <c r="E134" s="318" t="s">
        <v>25</v>
      </c>
      <c r="F134" s="318">
        <v>1.1000000000000001</v>
      </c>
      <c r="G134" s="125">
        <f>(G133+47.68)*F134</f>
        <v>186.93</v>
      </c>
      <c r="H134" s="126"/>
      <c r="I134" s="133"/>
      <c r="J134" s="131"/>
      <c r="K134" s="132"/>
      <c r="L134" s="133"/>
      <c r="M134" s="131"/>
      <c r="N134" s="127" t="s">
        <v>29</v>
      </c>
      <c r="O134" s="25"/>
      <c r="P134" s="21"/>
      <c r="Q134" s="22"/>
      <c r="R134" s="22"/>
      <c r="S134" s="22"/>
      <c r="T134" s="22"/>
      <c r="U134" s="22"/>
      <c r="V134" s="22"/>
      <c r="W134" s="22"/>
      <c r="X134" s="22"/>
      <c r="Y134" s="22"/>
      <c r="Z134" s="22"/>
      <c r="AA134" s="22"/>
      <c r="AB134" s="22"/>
      <c r="AC134" s="22"/>
      <c r="AD134" s="22"/>
      <c r="AE134" s="22"/>
      <c r="AF134" s="22"/>
      <c r="AG134" s="22"/>
      <c r="AH134" s="22"/>
      <c r="AI134" s="22"/>
      <c r="AJ134" s="22"/>
      <c r="AK134" s="22"/>
      <c r="AL134" s="22"/>
      <c r="AM134" s="22"/>
      <c r="AN134" s="22"/>
      <c r="AO134" s="22"/>
      <c r="AP134" s="22"/>
      <c r="AQ134" s="22"/>
      <c r="AR134" s="22"/>
      <c r="AS134" s="22"/>
      <c r="AT134" s="22"/>
      <c r="AU134" s="22"/>
      <c r="AV134" s="22"/>
      <c r="AW134" s="22"/>
      <c r="AX134" s="22"/>
      <c r="AY134" s="22"/>
      <c r="AZ134" s="22"/>
      <c r="BA134" s="22"/>
      <c r="BB134" s="22"/>
      <c r="BC134" s="22"/>
      <c r="BD134" s="22"/>
      <c r="BE134" s="22"/>
      <c r="BF134" s="22"/>
      <c r="BG134" s="22"/>
      <c r="BH134" s="22"/>
      <c r="BI134" s="22"/>
      <c r="BJ134" s="22"/>
      <c r="BK134" s="22"/>
      <c r="BL134" s="22"/>
      <c r="BM134" s="22"/>
      <c r="BN134" s="22"/>
      <c r="BO134" s="22"/>
      <c r="BP134" s="22"/>
      <c r="BQ134" s="22"/>
      <c r="BR134" s="22"/>
      <c r="BS134" s="22"/>
      <c r="BT134" s="22"/>
    </row>
    <row r="135" spans="1:72" s="23" customFormat="1" ht="27" customHeight="1" x14ac:dyDescent="0.25">
      <c r="A135" s="368" t="s">
        <v>177</v>
      </c>
      <c r="B135" s="257"/>
      <c r="C135" s="258" t="s">
        <v>40</v>
      </c>
      <c r="D135" s="259"/>
      <c r="E135" s="259"/>
      <c r="F135" s="259"/>
      <c r="G135" s="355"/>
      <c r="H135" s="260"/>
      <c r="I135" s="261"/>
      <c r="J135" s="262"/>
      <c r="K135" s="263">
        <f>SUM(K136:K137)</f>
        <v>0</v>
      </c>
      <c r="L135" s="264">
        <f>SUM(L136:L137)</f>
        <v>0</v>
      </c>
      <c r="M135" s="265">
        <f>L135+K135</f>
        <v>0</v>
      </c>
      <c r="N135" s="315"/>
      <c r="O135" s="21"/>
      <c r="P135" s="21"/>
      <c r="Q135" s="22"/>
      <c r="R135" s="22"/>
      <c r="S135" s="22"/>
      <c r="T135" s="22"/>
      <c r="U135" s="22"/>
      <c r="V135" s="22"/>
      <c r="W135" s="22"/>
      <c r="X135" s="22"/>
      <c r="Y135" s="22"/>
      <c r="Z135" s="22"/>
      <c r="AA135" s="22"/>
      <c r="AB135" s="22"/>
      <c r="AC135" s="22"/>
      <c r="AD135" s="22"/>
      <c r="AE135" s="22"/>
      <c r="AF135" s="22"/>
      <c r="AG135" s="22"/>
      <c r="AH135" s="22"/>
      <c r="AI135" s="22"/>
      <c r="AJ135" s="22"/>
      <c r="AK135" s="22"/>
      <c r="AL135" s="22"/>
      <c r="AM135" s="22"/>
      <c r="AN135" s="22"/>
      <c r="AO135" s="22"/>
      <c r="AP135" s="22"/>
      <c r="AQ135" s="22"/>
      <c r="AR135" s="22"/>
      <c r="AS135" s="22"/>
      <c r="AT135" s="22"/>
      <c r="AU135" s="22"/>
      <c r="AV135" s="22"/>
      <c r="AW135" s="22"/>
      <c r="AX135" s="22"/>
      <c r="AY135" s="22"/>
      <c r="AZ135" s="22"/>
      <c r="BA135" s="22"/>
      <c r="BB135" s="22"/>
      <c r="BC135" s="22"/>
      <c r="BD135" s="22"/>
      <c r="BE135" s="22"/>
      <c r="BF135" s="22"/>
      <c r="BG135" s="22"/>
      <c r="BH135" s="22"/>
      <c r="BI135" s="22"/>
      <c r="BJ135" s="22"/>
      <c r="BK135" s="22"/>
      <c r="BL135" s="22"/>
      <c r="BM135" s="22"/>
      <c r="BN135" s="22"/>
      <c r="BO135" s="22"/>
      <c r="BP135" s="22"/>
      <c r="BQ135" s="22"/>
      <c r="BR135" s="22"/>
      <c r="BS135" s="22"/>
      <c r="BT135" s="22"/>
    </row>
    <row r="136" spans="1:72" s="229" customFormat="1" ht="27.95" customHeight="1" outlineLevel="1" x14ac:dyDescent="0.2">
      <c r="A136" s="333" t="s">
        <v>352</v>
      </c>
      <c r="B136" s="335"/>
      <c r="C136" s="336" t="s">
        <v>90</v>
      </c>
      <c r="D136" s="337"/>
      <c r="E136" s="337" t="s">
        <v>166</v>
      </c>
      <c r="F136" s="337"/>
      <c r="G136" s="338">
        <v>52.7</v>
      </c>
      <c r="H136" s="124">
        <f>H137*$G137/$G136</f>
        <v>0</v>
      </c>
      <c r="I136" s="358"/>
      <c r="J136" s="304">
        <f>H136+I136</f>
        <v>0</v>
      </c>
      <c r="K136" s="305">
        <f>$G136*H136</f>
        <v>0</v>
      </c>
      <c r="L136" s="306">
        <f>$G136*I136</f>
        <v>0</v>
      </c>
      <c r="M136" s="307">
        <f>K136+L136</f>
        <v>0</v>
      </c>
      <c r="N136" s="354"/>
      <c r="O136" s="21"/>
      <c r="P136" s="16"/>
      <c r="Q136" s="226"/>
      <c r="R136" s="226"/>
      <c r="S136" s="226"/>
      <c r="T136" s="226"/>
      <c r="U136" s="226"/>
      <c r="V136" s="226"/>
      <c r="W136" s="226"/>
      <c r="X136" s="226"/>
      <c r="Y136" s="226"/>
      <c r="Z136" s="226"/>
      <c r="AA136" s="226"/>
      <c r="AB136" s="226"/>
      <c r="AC136" s="226"/>
      <c r="AD136" s="226"/>
      <c r="AE136" s="226"/>
      <c r="AF136" s="226"/>
      <c r="AG136" s="226"/>
      <c r="AH136" s="226"/>
      <c r="AI136" s="226"/>
      <c r="AJ136" s="226"/>
      <c r="AK136" s="226"/>
      <c r="AL136" s="226"/>
      <c r="AM136" s="226"/>
      <c r="AN136" s="226"/>
      <c r="AO136" s="226"/>
      <c r="AP136" s="226"/>
      <c r="AQ136" s="226"/>
      <c r="AR136" s="226"/>
      <c r="AS136" s="226"/>
      <c r="AT136" s="226"/>
      <c r="AU136" s="226"/>
      <c r="AV136" s="226"/>
      <c r="AW136" s="226"/>
      <c r="AX136" s="226"/>
      <c r="AY136" s="226"/>
      <c r="AZ136" s="226"/>
      <c r="BA136" s="226"/>
      <c r="BB136" s="226"/>
      <c r="BC136" s="226"/>
      <c r="BD136" s="226"/>
      <c r="BE136" s="226"/>
      <c r="BF136" s="226"/>
      <c r="BG136" s="226"/>
      <c r="BH136" s="226"/>
      <c r="BI136" s="226"/>
      <c r="BJ136" s="226"/>
      <c r="BK136" s="226"/>
      <c r="BL136" s="226"/>
      <c r="BM136" s="226"/>
      <c r="BN136" s="226"/>
      <c r="BO136" s="226"/>
      <c r="BP136" s="226"/>
      <c r="BQ136" s="226"/>
      <c r="BR136" s="226"/>
      <c r="BS136" s="226"/>
      <c r="BT136" s="226"/>
    </row>
    <row r="137" spans="1:72" s="229" customFormat="1" ht="27.95" customHeight="1" outlineLevel="1" x14ac:dyDescent="0.25">
      <c r="A137" s="360" t="s">
        <v>353</v>
      </c>
      <c r="B137" s="339">
        <v>4100001915</v>
      </c>
      <c r="C137" s="340" t="s">
        <v>44</v>
      </c>
      <c r="D137" s="341"/>
      <c r="E137" s="342" t="s">
        <v>166</v>
      </c>
      <c r="F137" s="343"/>
      <c r="G137" s="344">
        <f>G136</f>
        <v>52.7</v>
      </c>
      <c r="H137" s="357"/>
      <c r="I137" s="361"/>
      <c r="J137" s="362"/>
      <c r="K137" s="363"/>
      <c r="L137" s="364"/>
      <c r="M137" s="362"/>
      <c r="N137" s="366"/>
      <c r="O137" s="16"/>
      <c r="P137" s="16"/>
      <c r="Q137" s="226"/>
      <c r="R137" s="226"/>
      <c r="S137" s="226"/>
      <c r="T137" s="226"/>
      <c r="U137" s="226"/>
      <c r="V137" s="226"/>
      <c r="W137" s="226"/>
      <c r="X137" s="226"/>
      <c r="Y137" s="226"/>
      <c r="Z137" s="226"/>
      <c r="AA137" s="226"/>
      <c r="AB137" s="226"/>
      <c r="AC137" s="226"/>
      <c r="AD137" s="226"/>
      <c r="AE137" s="226"/>
      <c r="AF137" s="226"/>
      <c r="AG137" s="226"/>
      <c r="AH137" s="226"/>
      <c r="AI137" s="226"/>
      <c r="AJ137" s="226"/>
      <c r="AK137" s="226"/>
      <c r="AL137" s="226"/>
      <c r="AM137" s="226"/>
      <c r="AN137" s="226"/>
      <c r="AO137" s="226"/>
      <c r="AP137" s="226"/>
      <c r="AQ137" s="226"/>
      <c r="AR137" s="226"/>
      <c r="AS137" s="226"/>
      <c r="AT137" s="226"/>
      <c r="AU137" s="226"/>
      <c r="AV137" s="226"/>
      <c r="AW137" s="226"/>
      <c r="AX137" s="226"/>
      <c r="AY137" s="226"/>
      <c r="AZ137" s="226"/>
      <c r="BA137" s="226"/>
      <c r="BB137" s="226"/>
      <c r="BC137" s="226"/>
      <c r="BD137" s="226"/>
      <c r="BE137" s="226"/>
      <c r="BF137" s="226"/>
      <c r="BG137" s="226"/>
      <c r="BH137" s="226"/>
      <c r="BI137" s="226"/>
      <c r="BJ137" s="226"/>
      <c r="BK137" s="226"/>
      <c r="BL137" s="226"/>
      <c r="BM137" s="226"/>
      <c r="BN137" s="226"/>
      <c r="BO137" s="226"/>
      <c r="BP137" s="226"/>
      <c r="BQ137" s="226"/>
      <c r="BR137" s="226"/>
      <c r="BS137" s="226"/>
      <c r="BT137" s="226"/>
    </row>
    <row r="138" spans="1:72" s="23" customFormat="1" ht="27" customHeight="1" x14ac:dyDescent="0.25">
      <c r="A138" s="278" t="s">
        <v>178</v>
      </c>
      <c r="B138" s="257"/>
      <c r="C138" s="258" t="s">
        <v>47</v>
      </c>
      <c r="D138" s="259">
        <f>D139</f>
        <v>0.2</v>
      </c>
      <c r="E138" s="259" t="s">
        <v>27</v>
      </c>
      <c r="F138" s="259"/>
      <c r="G138" s="314">
        <f>G139</f>
        <v>51.9</v>
      </c>
      <c r="H138" s="260"/>
      <c r="I138" s="261"/>
      <c r="J138" s="262"/>
      <c r="K138" s="263">
        <f>SUM(K139)</f>
        <v>0</v>
      </c>
      <c r="L138" s="264">
        <f>SUM(L139)</f>
        <v>0</v>
      </c>
      <c r="M138" s="265">
        <f>L138+K138</f>
        <v>0</v>
      </c>
      <c r="N138" s="59"/>
      <c r="O138" s="21"/>
      <c r="P138" s="21"/>
      <c r="Q138" s="22"/>
      <c r="R138" s="22"/>
      <c r="S138" s="22"/>
      <c r="T138" s="22"/>
      <c r="U138" s="22"/>
      <c r="V138" s="22"/>
      <c r="W138" s="22"/>
      <c r="X138" s="22"/>
      <c r="Y138" s="22"/>
      <c r="Z138" s="22"/>
      <c r="AA138" s="22"/>
      <c r="AB138" s="22"/>
      <c r="AC138" s="22"/>
      <c r="AD138" s="22"/>
      <c r="AE138" s="22"/>
      <c r="AF138" s="22"/>
      <c r="AG138" s="22"/>
      <c r="AH138" s="22"/>
      <c r="AI138" s="22"/>
      <c r="AJ138" s="22"/>
      <c r="AK138" s="22"/>
      <c r="AL138" s="22"/>
      <c r="AM138" s="22"/>
      <c r="AN138" s="22"/>
      <c r="AO138" s="22"/>
      <c r="AP138" s="22"/>
      <c r="AQ138" s="22"/>
      <c r="AR138" s="22"/>
      <c r="AS138" s="22"/>
      <c r="AT138" s="22"/>
      <c r="AU138" s="22"/>
      <c r="AV138" s="22"/>
      <c r="AW138" s="22"/>
      <c r="AX138" s="22"/>
      <c r="AY138" s="22"/>
      <c r="AZ138" s="22"/>
      <c r="BA138" s="22"/>
      <c r="BB138" s="22"/>
      <c r="BC138" s="22"/>
      <c r="BD138" s="22"/>
      <c r="BE138" s="22"/>
      <c r="BF138" s="22"/>
      <c r="BG138" s="22"/>
      <c r="BH138" s="22"/>
      <c r="BI138" s="22"/>
      <c r="BJ138" s="22"/>
      <c r="BK138" s="22"/>
      <c r="BL138" s="22"/>
      <c r="BM138" s="22"/>
      <c r="BN138" s="22"/>
      <c r="BO138" s="22"/>
      <c r="BP138" s="22"/>
      <c r="BQ138" s="22"/>
      <c r="BR138" s="22"/>
      <c r="BS138" s="22"/>
      <c r="BT138" s="22"/>
    </row>
    <row r="139" spans="1:72" s="23" customFormat="1" ht="52.5" customHeight="1" outlineLevel="1" x14ac:dyDescent="0.25">
      <c r="A139" s="333" t="s">
        <v>351</v>
      </c>
      <c r="B139" s="369"/>
      <c r="C139" s="370" t="s">
        <v>48</v>
      </c>
      <c r="D139" s="322">
        <v>0.2</v>
      </c>
      <c r="E139" s="322" t="s">
        <v>27</v>
      </c>
      <c r="F139" s="322"/>
      <c r="G139" s="437">
        <v>51.9</v>
      </c>
      <c r="H139" s="498"/>
      <c r="I139" s="499"/>
      <c r="J139" s="500">
        <f>I139+H139</f>
        <v>0</v>
      </c>
      <c r="K139" s="501">
        <f>H139*G139</f>
        <v>0</v>
      </c>
      <c r="L139" s="502">
        <f>I139*G139</f>
        <v>0</v>
      </c>
      <c r="M139" s="500">
        <f>L139+K139</f>
        <v>0</v>
      </c>
      <c r="N139" s="497" t="s">
        <v>377</v>
      </c>
      <c r="O139" s="24"/>
      <c r="P139" s="24"/>
      <c r="Q139" s="22"/>
      <c r="R139" s="22"/>
      <c r="S139" s="22"/>
      <c r="T139" s="22"/>
      <c r="U139" s="22"/>
      <c r="V139" s="22"/>
      <c r="W139" s="22"/>
      <c r="X139" s="22"/>
      <c r="Y139" s="22"/>
      <c r="Z139" s="22"/>
      <c r="AA139" s="22"/>
      <c r="AB139" s="22"/>
      <c r="AC139" s="22"/>
      <c r="AD139" s="22"/>
      <c r="AE139" s="22"/>
      <c r="AF139" s="22"/>
      <c r="AG139" s="22"/>
      <c r="AH139" s="22"/>
      <c r="AI139" s="22"/>
      <c r="AJ139" s="22"/>
      <c r="AK139" s="22"/>
      <c r="AL139" s="22"/>
      <c r="AM139" s="22"/>
      <c r="AN139" s="22"/>
      <c r="AO139" s="22"/>
      <c r="AP139" s="22"/>
      <c r="AQ139" s="22"/>
      <c r="AR139" s="22"/>
      <c r="AS139" s="22"/>
      <c r="AT139" s="22"/>
      <c r="AU139" s="22"/>
      <c r="AV139" s="22"/>
      <c r="AW139" s="22"/>
      <c r="AX139" s="22"/>
      <c r="AY139" s="22"/>
      <c r="AZ139" s="22"/>
      <c r="BA139" s="22"/>
      <c r="BB139" s="22"/>
      <c r="BC139" s="22"/>
      <c r="BD139" s="22"/>
      <c r="BE139" s="22"/>
      <c r="BF139" s="22"/>
      <c r="BG139" s="22"/>
      <c r="BH139" s="22"/>
      <c r="BI139" s="22"/>
      <c r="BJ139" s="22"/>
      <c r="BK139" s="22"/>
      <c r="BL139" s="22"/>
      <c r="BM139" s="22"/>
      <c r="BN139" s="22"/>
      <c r="BO139" s="22"/>
      <c r="BP139" s="22"/>
      <c r="BQ139" s="22"/>
      <c r="BR139" s="22"/>
      <c r="BS139" s="22"/>
      <c r="BT139" s="22"/>
    </row>
    <row r="140" spans="1:72" s="227" customFormat="1" ht="27.75" customHeight="1" x14ac:dyDescent="0.25">
      <c r="A140" s="425" t="s">
        <v>374</v>
      </c>
      <c r="B140" s="426"/>
      <c r="C140" s="427" t="s">
        <v>218</v>
      </c>
      <c r="D140" s="427"/>
      <c r="E140" s="428"/>
      <c r="F140" s="428"/>
      <c r="G140" s="429"/>
      <c r="H140" s="430"/>
      <c r="I140" s="431"/>
      <c r="J140" s="432"/>
      <c r="K140" s="433">
        <f>K141</f>
        <v>0</v>
      </c>
      <c r="L140" s="434">
        <f>L141</f>
        <v>0</v>
      </c>
      <c r="M140" s="435">
        <f>L140+K140</f>
        <v>0</v>
      </c>
      <c r="N140" s="436"/>
      <c r="O140" s="16"/>
      <c r="P140" s="16"/>
      <c r="Q140" s="226"/>
      <c r="R140" s="226"/>
      <c r="S140" s="226"/>
      <c r="T140" s="226"/>
      <c r="U140" s="226"/>
      <c r="V140" s="226"/>
      <c r="W140" s="226"/>
      <c r="X140" s="226"/>
      <c r="Y140" s="226"/>
      <c r="Z140" s="226"/>
      <c r="AA140" s="226"/>
      <c r="AB140" s="226"/>
      <c r="AC140" s="226"/>
      <c r="AD140" s="226"/>
      <c r="AE140" s="226"/>
      <c r="AF140" s="226"/>
      <c r="AG140" s="226"/>
      <c r="AH140" s="226"/>
      <c r="AI140" s="226"/>
      <c r="AJ140" s="226"/>
      <c r="AK140" s="226"/>
      <c r="AL140" s="226"/>
      <c r="AM140" s="226"/>
      <c r="AN140" s="226"/>
      <c r="AO140" s="226"/>
      <c r="AP140" s="226"/>
      <c r="AQ140" s="226"/>
      <c r="AR140" s="226"/>
      <c r="AS140" s="226"/>
      <c r="AT140" s="226"/>
      <c r="AU140" s="226"/>
      <c r="AV140" s="226"/>
      <c r="AW140" s="226"/>
      <c r="AX140" s="226"/>
      <c r="AY140" s="226"/>
      <c r="AZ140" s="226"/>
      <c r="BA140" s="226"/>
      <c r="BB140" s="226"/>
      <c r="BC140" s="226"/>
      <c r="BD140" s="226"/>
      <c r="BE140" s="226"/>
      <c r="BF140" s="226"/>
      <c r="BG140" s="226"/>
      <c r="BH140" s="226"/>
      <c r="BI140" s="226"/>
      <c r="BJ140" s="226"/>
      <c r="BK140" s="226"/>
      <c r="BL140" s="226"/>
      <c r="BM140" s="226"/>
      <c r="BN140" s="226"/>
      <c r="BO140" s="226"/>
      <c r="BP140" s="226"/>
      <c r="BQ140" s="226"/>
      <c r="BR140" s="226"/>
      <c r="BS140" s="226"/>
      <c r="BT140" s="226"/>
    </row>
    <row r="141" spans="1:72" s="227" customFormat="1" ht="27.75" customHeight="1" x14ac:dyDescent="0.25">
      <c r="A141" s="424">
        <v>1</v>
      </c>
      <c r="B141" s="267"/>
      <c r="C141" s="268" t="s">
        <v>238</v>
      </c>
      <c r="D141" s="268"/>
      <c r="E141" s="269"/>
      <c r="F141" s="269"/>
      <c r="G141" s="270"/>
      <c r="H141" s="271"/>
      <c r="I141" s="272"/>
      <c r="J141" s="273"/>
      <c r="K141" s="274">
        <f>K142+K149+K152+K167+K175+K193+K184+K195+K201+K203</f>
        <v>0</v>
      </c>
      <c r="L141" s="275">
        <f>L142+L149+L152+L167+L175+L184+L193+L195+L201+L203</f>
        <v>0</v>
      </c>
      <c r="M141" s="276">
        <f>L141+K141</f>
        <v>0</v>
      </c>
      <c r="N141" s="277"/>
      <c r="O141" s="16"/>
      <c r="P141" s="16"/>
      <c r="Q141" s="226"/>
      <c r="R141" s="226"/>
      <c r="S141" s="226"/>
      <c r="T141" s="226"/>
      <c r="U141" s="226"/>
      <c r="V141" s="226"/>
      <c r="W141" s="226"/>
      <c r="X141" s="226"/>
      <c r="Y141" s="226"/>
      <c r="Z141" s="226"/>
      <c r="AA141" s="226"/>
      <c r="AB141" s="226"/>
      <c r="AC141" s="226"/>
      <c r="AD141" s="226"/>
      <c r="AE141" s="226"/>
      <c r="AF141" s="226"/>
      <c r="AG141" s="226"/>
      <c r="AH141" s="226"/>
      <c r="AI141" s="226"/>
      <c r="AJ141" s="226"/>
      <c r="AK141" s="226"/>
      <c r="AL141" s="226"/>
      <c r="AM141" s="226"/>
      <c r="AN141" s="226"/>
      <c r="AO141" s="226"/>
      <c r="AP141" s="226"/>
      <c r="AQ141" s="226"/>
      <c r="AR141" s="226"/>
      <c r="AS141" s="226"/>
      <c r="AT141" s="226"/>
      <c r="AU141" s="226"/>
      <c r="AV141" s="226"/>
      <c r="AW141" s="226"/>
      <c r="AX141" s="226"/>
      <c r="AY141" s="226"/>
      <c r="AZ141" s="226"/>
      <c r="BA141" s="226"/>
      <c r="BB141" s="226"/>
      <c r="BC141" s="226"/>
      <c r="BD141" s="226"/>
      <c r="BE141" s="226"/>
      <c r="BF141" s="226"/>
      <c r="BG141" s="226"/>
      <c r="BH141" s="226"/>
      <c r="BI141" s="226"/>
      <c r="BJ141" s="226"/>
      <c r="BK141" s="226"/>
      <c r="BL141" s="226"/>
      <c r="BM141" s="226"/>
      <c r="BN141" s="226"/>
      <c r="BO141" s="226"/>
      <c r="BP141" s="226"/>
      <c r="BQ141" s="226"/>
      <c r="BR141" s="226"/>
      <c r="BS141" s="226"/>
      <c r="BT141" s="226"/>
    </row>
    <row r="142" spans="1:72" s="227" customFormat="1" ht="27.75" customHeight="1" x14ac:dyDescent="0.25">
      <c r="A142" s="278" t="s">
        <v>172</v>
      </c>
      <c r="B142" s="257"/>
      <c r="C142" s="258" t="s">
        <v>152</v>
      </c>
      <c r="D142" s="258"/>
      <c r="E142" s="259"/>
      <c r="F142" s="259"/>
      <c r="G142" s="355"/>
      <c r="H142" s="260"/>
      <c r="I142" s="261"/>
      <c r="J142" s="262"/>
      <c r="K142" s="372">
        <f>SUM(K143:K148)</f>
        <v>0</v>
      </c>
      <c r="L142" s="264">
        <f>SUM(L143:L148)</f>
        <v>0</v>
      </c>
      <c r="M142" s="265">
        <f>L142+K142</f>
        <v>0</v>
      </c>
      <c r="N142" s="315"/>
      <c r="O142" s="16"/>
      <c r="P142" s="16"/>
      <c r="Q142" s="226"/>
      <c r="R142" s="226"/>
      <c r="S142" s="226"/>
      <c r="T142" s="226"/>
      <c r="U142" s="226"/>
      <c r="V142" s="226"/>
      <c r="W142" s="226"/>
      <c r="X142" s="226"/>
      <c r="Y142" s="226"/>
      <c r="Z142" s="226"/>
      <c r="AA142" s="226"/>
      <c r="AB142" s="226"/>
      <c r="AC142" s="226"/>
      <c r="AD142" s="226"/>
      <c r="AE142" s="226"/>
      <c r="AF142" s="226"/>
      <c r="AG142" s="226"/>
      <c r="AH142" s="226"/>
      <c r="AI142" s="226"/>
      <c r="AJ142" s="226"/>
      <c r="AK142" s="226"/>
      <c r="AL142" s="226"/>
      <c r="AM142" s="226"/>
      <c r="AN142" s="226"/>
      <c r="AO142" s="226"/>
      <c r="AP142" s="226"/>
      <c r="AQ142" s="226"/>
      <c r="AR142" s="226"/>
      <c r="AS142" s="226"/>
      <c r="AT142" s="226"/>
      <c r="AU142" s="226"/>
      <c r="AV142" s="226"/>
      <c r="AW142" s="226"/>
      <c r="AX142" s="226"/>
      <c r="AY142" s="226"/>
      <c r="AZ142" s="226"/>
      <c r="BA142" s="226"/>
      <c r="BB142" s="226"/>
      <c r="BC142" s="226"/>
      <c r="BD142" s="226"/>
      <c r="BE142" s="226"/>
      <c r="BF142" s="226"/>
      <c r="BG142" s="226"/>
      <c r="BH142" s="226"/>
      <c r="BI142" s="226"/>
      <c r="BJ142" s="226"/>
      <c r="BK142" s="226"/>
      <c r="BL142" s="226"/>
      <c r="BM142" s="226"/>
      <c r="BN142" s="226"/>
      <c r="BO142" s="226"/>
      <c r="BP142" s="226"/>
      <c r="BQ142" s="226"/>
      <c r="BR142" s="226"/>
      <c r="BS142" s="226"/>
      <c r="BT142" s="226"/>
    </row>
    <row r="143" spans="1:72" s="23" customFormat="1" ht="50.25" customHeight="1" outlineLevel="1" x14ac:dyDescent="0.25">
      <c r="A143" s="309" t="s">
        <v>240</v>
      </c>
      <c r="B143" s="158"/>
      <c r="C143" s="300" t="s">
        <v>221</v>
      </c>
      <c r="D143" s="408"/>
      <c r="E143" s="302" t="s">
        <v>27</v>
      </c>
      <c r="F143" s="302"/>
      <c r="G143" s="303">
        <v>55.6</v>
      </c>
      <c r="H143" s="124"/>
      <c r="I143" s="134"/>
      <c r="J143" s="304">
        <f>H143+I143</f>
        <v>0</v>
      </c>
      <c r="K143" s="305"/>
      <c r="L143" s="306">
        <f>$G143*I143</f>
        <v>0</v>
      </c>
      <c r="M143" s="307">
        <f>K143+L143</f>
        <v>0</v>
      </c>
      <c r="N143" s="58"/>
      <c r="O143" s="230"/>
      <c r="P143" s="230"/>
      <c r="Q143" s="22"/>
      <c r="R143" s="22"/>
      <c r="S143" s="22"/>
      <c r="T143" s="22"/>
      <c r="U143" s="22"/>
      <c r="V143" s="22"/>
      <c r="W143" s="22"/>
      <c r="X143" s="22"/>
      <c r="Y143" s="22"/>
      <c r="Z143" s="22"/>
      <c r="AA143" s="22"/>
      <c r="AB143" s="22"/>
      <c r="AC143" s="22"/>
      <c r="AD143" s="22"/>
      <c r="AE143" s="22"/>
      <c r="AF143" s="22"/>
      <c r="AG143" s="22"/>
      <c r="AH143" s="22"/>
      <c r="AI143" s="22"/>
      <c r="AJ143" s="22"/>
      <c r="AK143" s="22"/>
      <c r="AL143" s="22"/>
      <c r="AM143" s="22"/>
      <c r="AN143" s="22"/>
      <c r="AO143" s="22"/>
      <c r="AP143" s="22"/>
      <c r="AQ143" s="22"/>
      <c r="AR143" s="22"/>
      <c r="AS143" s="22"/>
      <c r="AT143" s="22"/>
      <c r="AU143" s="22"/>
      <c r="AV143" s="22"/>
      <c r="AW143" s="22"/>
      <c r="AX143" s="22"/>
      <c r="AY143" s="22"/>
      <c r="AZ143" s="22"/>
      <c r="BA143" s="22"/>
      <c r="BB143" s="22"/>
      <c r="BC143" s="22"/>
      <c r="BD143" s="22"/>
      <c r="BE143" s="22"/>
      <c r="BF143" s="22"/>
      <c r="BG143" s="22"/>
      <c r="BH143" s="22"/>
      <c r="BI143" s="22"/>
      <c r="BJ143" s="22"/>
      <c r="BK143" s="22"/>
      <c r="BL143" s="22"/>
      <c r="BM143" s="22"/>
      <c r="BN143" s="22"/>
      <c r="BO143" s="22"/>
      <c r="BP143" s="22"/>
      <c r="BQ143" s="22"/>
      <c r="BR143" s="22"/>
      <c r="BS143" s="22"/>
      <c r="BT143" s="22"/>
    </row>
    <row r="144" spans="1:72" s="23" customFormat="1" ht="42.75" customHeight="1" outlineLevel="1" x14ac:dyDescent="0.25">
      <c r="A144" s="309" t="s">
        <v>241</v>
      </c>
      <c r="B144" s="310"/>
      <c r="C144" s="300" t="s">
        <v>282</v>
      </c>
      <c r="D144" s="301"/>
      <c r="E144" s="302" t="s">
        <v>27</v>
      </c>
      <c r="F144" s="302"/>
      <c r="G144" s="303">
        <f>507+359</f>
        <v>866</v>
      </c>
      <c r="H144" s="124"/>
      <c r="I144" s="134"/>
      <c r="J144" s="304">
        <f>H144+I144</f>
        <v>0</v>
      </c>
      <c r="K144" s="305"/>
      <c r="L144" s="306">
        <f>$G144*I144</f>
        <v>0</v>
      </c>
      <c r="M144" s="307">
        <f>K144+L144</f>
        <v>0</v>
      </c>
      <c r="N144" s="480" t="s">
        <v>283</v>
      </c>
      <c r="O144" s="230"/>
      <c r="P144" s="230"/>
      <c r="Q144" s="22"/>
      <c r="R144" s="22"/>
      <c r="S144" s="22"/>
      <c r="T144" s="22"/>
      <c r="U144" s="22"/>
      <c r="V144" s="22"/>
      <c r="W144" s="22"/>
      <c r="X144" s="22"/>
      <c r="Y144" s="22"/>
      <c r="Z144" s="22"/>
      <c r="AA144" s="22"/>
      <c r="AB144" s="22"/>
      <c r="AC144" s="22"/>
      <c r="AD144" s="22"/>
      <c r="AE144" s="22"/>
      <c r="AF144" s="22"/>
      <c r="AG144" s="22"/>
      <c r="AH144" s="22"/>
      <c r="AI144" s="22"/>
      <c r="AJ144" s="22"/>
      <c r="AK144" s="22"/>
      <c r="AL144" s="22"/>
      <c r="AM144" s="22"/>
      <c r="AN144" s="22"/>
      <c r="AO144" s="22"/>
      <c r="AP144" s="22"/>
      <c r="AQ144" s="22"/>
      <c r="AR144" s="22"/>
      <c r="AS144" s="22"/>
      <c r="AT144" s="22"/>
      <c r="AU144" s="22"/>
      <c r="AV144" s="22"/>
      <c r="AW144" s="22"/>
      <c r="AX144" s="22"/>
      <c r="AY144" s="22"/>
      <c r="AZ144" s="22"/>
      <c r="BA144" s="22"/>
      <c r="BB144" s="22"/>
      <c r="BC144" s="22"/>
      <c r="BD144" s="22"/>
      <c r="BE144" s="22"/>
      <c r="BF144" s="22"/>
      <c r="BG144" s="22"/>
      <c r="BH144" s="22"/>
      <c r="BI144" s="22"/>
      <c r="BJ144" s="22"/>
      <c r="BK144" s="22"/>
      <c r="BL144" s="22"/>
      <c r="BM144" s="22"/>
      <c r="BN144" s="22"/>
      <c r="BO144" s="22"/>
      <c r="BP144" s="22"/>
      <c r="BQ144" s="22"/>
      <c r="BR144" s="22"/>
      <c r="BS144" s="22"/>
      <c r="BT144" s="22"/>
    </row>
    <row r="145" spans="1:72" s="23" customFormat="1" ht="47.25" customHeight="1" outlineLevel="1" x14ac:dyDescent="0.25">
      <c r="A145" s="309" t="s">
        <v>242</v>
      </c>
      <c r="B145" s="310"/>
      <c r="C145" s="300" t="s">
        <v>287</v>
      </c>
      <c r="D145" s="301"/>
      <c r="E145" s="302" t="s">
        <v>27</v>
      </c>
      <c r="F145" s="302"/>
      <c r="G145" s="303">
        <v>636.5</v>
      </c>
      <c r="H145" s="124"/>
      <c r="I145" s="134"/>
      <c r="J145" s="304">
        <f>H145+I145</f>
        <v>0</v>
      </c>
      <c r="K145" s="305"/>
      <c r="L145" s="306">
        <f>$G145*I145</f>
        <v>0</v>
      </c>
      <c r="M145" s="307">
        <f>K145+L145</f>
        <v>0</v>
      </c>
      <c r="N145" s="480"/>
      <c r="O145" s="230"/>
      <c r="P145" s="230"/>
      <c r="Q145" s="22"/>
      <c r="R145" s="22"/>
      <c r="S145" s="22"/>
      <c r="T145" s="22"/>
      <c r="U145" s="22"/>
      <c r="V145" s="22"/>
      <c r="W145" s="22"/>
      <c r="X145" s="22"/>
      <c r="Y145" s="22"/>
      <c r="Z145" s="22"/>
      <c r="AA145" s="22"/>
      <c r="AB145" s="22"/>
      <c r="AC145" s="22"/>
      <c r="AD145" s="22"/>
      <c r="AE145" s="22"/>
      <c r="AF145" s="22"/>
      <c r="AG145" s="22"/>
      <c r="AH145" s="22"/>
      <c r="AI145" s="22"/>
      <c r="AJ145" s="22"/>
      <c r="AK145" s="22"/>
      <c r="AL145" s="22"/>
      <c r="AM145" s="22"/>
      <c r="AN145" s="22"/>
      <c r="AO145" s="22"/>
      <c r="AP145" s="22"/>
      <c r="AQ145" s="22"/>
      <c r="AR145" s="22"/>
      <c r="AS145" s="22"/>
      <c r="AT145" s="22"/>
      <c r="AU145" s="22"/>
      <c r="AV145" s="22"/>
      <c r="AW145" s="22"/>
      <c r="AX145" s="22"/>
      <c r="AY145" s="22"/>
      <c r="AZ145" s="22"/>
      <c r="BA145" s="22"/>
      <c r="BB145" s="22"/>
      <c r="BC145" s="22"/>
      <c r="BD145" s="22"/>
      <c r="BE145" s="22"/>
      <c r="BF145" s="22"/>
      <c r="BG145" s="22"/>
      <c r="BH145" s="22"/>
      <c r="BI145" s="22"/>
      <c r="BJ145" s="22"/>
      <c r="BK145" s="22"/>
      <c r="BL145" s="22"/>
      <c r="BM145" s="22"/>
      <c r="BN145" s="22"/>
      <c r="BO145" s="22"/>
      <c r="BP145" s="22"/>
      <c r="BQ145" s="22"/>
      <c r="BR145" s="22"/>
      <c r="BS145" s="22"/>
      <c r="BT145" s="22"/>
    </row>
    <row r="146" spans="1:72" s="23" customFormat="1" ht="39.75" customHeight="1" outlineLevel="1" x14ac:dyDescent="0.25">
      <c r="A146" s="309" t="s">
        <v>243</v>
      </c>
      <c r="B146" s="158"/>
      <c r="C146" s="300" t="s">
        <v>148</v>
      </c>
      <c r="D146" s="301"/>
      <c r="E146" s="302" t="s">
        <v>110</v>
      </c>
      <c r="F146" s="302"/>
      <c r="G146" s="303">
        <f>141.6+55.4</f>
        <v>197</v>
      </c>
      <c r="H146" s="124"/>
      <c r="I146" s="134"/>
      <c r="J146" s="304">
        <f>H146+I146</f>
        <v>0</v>
      </c>
      <c r="K146" s="305"/>
      <c r="L146" s="306">
        <f t="shared" ref="L146:L147" si="8">$G146*I146</f>
        <v>0</v>
      </c>
      <c r="M146" s="307">
        <f t="shared" ref="M146:M147" si="9">K146+L146</f>
        <v>0</v>
      </c>
      <c r="N146" s="311" t="s">
        <v>286</v>
      </c>
      <c r="O146" s="230"/>
      <c r="P146" s="230"/>
      <c r="Q146" s="22"/>
      <c r="R146" s="22"/>
      <c r="S146" s="22"/>
      <c r="T146" s="22"/>
      <c r="U146" s="22"/>
      <c r="V146" s="22"/>
      <c r="W146" s="22"/>
      <c r="X146" s="22"/>
      <c r="Y146" s="22"/>
      <c r="Z146" s="22"/>
      <c r="AA146" s="22"/>
      <c r="AB146" s="22"/>
      <c r="AC146" s="22"/>
      <c r="AD146" s="22"/>
      <c r="AE146" s="22"/>
      <c r="AF146" s="22"/>
      <c r="AG146" s="22"/>
      <c r="AH146" s="22"/>
      <c r="AI146" s="22"/>
      <c r="AJ146" s="22"/>
      <c r="AK146" s="22"/>
      <c r="AL146" s="22"/>
      <c r="AM146" s="22"/>
      <c r="AN146" s="22"/>
      <c r="AO146" s="22"/>
      <c r="AP146" s="22"/>
      <c r="AQ146" s="22"/>
      <c r="AR146" s="22"/>
      <c r="AS146" s="22"/>
      <c r="AT146" s="22"/>
      <c r="AU146" s="22"/>
      <c r="AV146" s="22"/>
      <c r="AW146" s="22"/>
      <c r="AX146" s="22"/>
      <c r="AY146" s="22"/>
      <c r="AZ146" s="22"/>
      <c r="BA146" s="22"/>
      <c r="BB146" s="22"/>
      <c r="BC146" s="22"/>
      <c r="BD146" s="22"/>
      <c r="BE146" s="22"/>
      <c r="BF146" s="22"/>
      <c r="BG146" s="22"/>
      <c r="BH146" s="22"/>
      <c r="BI146" s="22"/>
      <c r="BJ146" s="22"/>
      <c r="BK146" s="22"/>
      <c r="BL146" s="22"/>
      <c r="BM146" s="22"/>
      <c r="BN146" s="22"/>
      <c r="BO146" s="22"/>
      <c r="BP146" s="22"/>
      <c r="BQ146" s="22"/>
      <c r="BR146" s="22"/>
      <c r="BS146" s="22"/>
      <c r="BT146" s="22"/>
    </row>
    <row r="147" spans="1:72" s="23" customFormat="1" ht="41.25" customHeight="1" outlineLevel="1" x14ac:dyDescent="0.25">
      <c r="A147" s="309" t="s">
        <v>244</v>
      </c>
      <c r="B147" s="158"/>
      <c r="C147" s="300" t="s">
        <v>171</v>
      </c>
      <c r="D147" s="301"/>
      <c r="E147" s="302" t="s">
        <v>166</v>
      </c>
      <c r="F147" s="302"/>
      <c r="G147" s="303">
        <v>27.9</v>
      </c>
      <c r="H147" s="124"/>
      <c r="I147" s="134"/>
      <c r="J147" s="304">
        <f t="shared" ref="J147" si="10">H147+I147</f>
        <v>0</v>
      </c>
      <c r="K147" s="305"/>
      <c r="L147" s="306">
        <f t="shared" si="8"/>
        <v>0</v>
      </c>
      <c r="M147" s="307">
        <f t="shared" si="9"/>
        <v>0</v>
      </c>
      <c r="N147" s="311" t="s">
        <v>284</v>
      </c>
      <c r="O147" s="230"/>
      <c r="P147" s="230"/>
      <c r="Q147" s="22"/>
      <c r="R147" s="22"/>
      <c r="S147" s="22"/>
      <c r="T147" s="22"/>
      <c r="U147" s="22"/>
      <c r="V147" s="22"/>
      <c r="W147" s="22"/>
      <c r="X147" s="22"/>
      <c r="Y147" s="22"/>
      <c r="Z147" s="22"/>
      <c r="AA147" s="22"/>
      <c r="AB147" s="22"/>
      <c r="AC147" s="22"/>
      <c r="AD147" s="22"/>
      <c r="AE147" s="22"/>
      <c r="AF147" s="22"/>
      <c r="AG147" s="22"/>
      <c r="AH147" s="22"/>
      <c r="AI147" s="22"/>
      <c r="AJ147" s="22"/>
      <c r="AK147" s="22"/>
      <c r="AL147" s="22"/>
      <c r="AM147" s="22"/>
      <c r="AN147" s="22"/>
      <c r="AO147" s="22"/>
      <c r="AP147" s="22"/>
      <c r="AQ147" s="22"/>
      <c r="AR147" s="22"/>
      <c r="AS147" s="22"/>
      <c r="AT147" s="22"/>
      <c r="AU147" s="22"/>
      <c r="AV147" s="22"/>
      <c r="AW147" s="22"/>
      <c r="AX147" s="22"/>
      <c r="AY147" s="22"/>
      <c r="AZ147" s="22"/>
      <c r="BA147" s="22"/>
      <c r="BB147" s="22"/>
      <c r="BC147" s="22"/>
      <c r="BD147" s="22"/>
      <c r="BE147" s="22"/>
      <c r="BF147" s="22"/>
      <c r="BG147" s="22"/>
      <c r="BH147" s="22"/>
      <c r="BI147" s="22"/>
      <c r="BJ147" s="22"/>
      <c r="BK147" s="22"/>
      <c r="BL147" s="22"/>
      <c r="BM147" s="22"/>
      <c r="BN147" s="22"/>
      <c r="BO147" s="22"/>
      <c r="BP147" s="22"/>
      <c r="BQ147" s="22"/>
      <c r="BR147" s="22"/>
      <c r="BS147" s="22"/>
      <c r="BT147" s="22"/>
    </row>
    <row r="148" spans="1:72" s="23" customFormat="1" ht="56.25" customHeight="1" outlineLevel="1" x14ac:dyDescent="0.25">
      <c r="A148" s="309" t="s">
        <v>245</v>
      </c>
      <c r="B148" s="310"/>
      <c r="C148" s="300" t="s">
        <v>236</v>
      </c>
      <c r="D148" s="301"/>
      <c r="E148" s="302" t="s">
        <v>33</v>
      </c>
      <c r="F148" s="302"/>
      <c r="G148" s="303">
        <v>0.28000000000000003</v>
      </c>
      <c r="H148" s="126"/>
      <c r="I148" s="308"/>
      <c r="J148" s="304">
        <f>H148+I148</f>
        <v>0</v>
      </c>
      <c r="K148" s="129">
        <f>G148*H148</f>
        <v>0</v>
      </c>
      <c r="L148" s="306"/>
      <c r="M148" s="307">
        <f>K148+L148</f>
        <v>0</v>
      </c>
      <c r="N148" s="58" t="s">
        <v>111</v>
      </c>
      <c r="O148" s="230"/>
      <c r="P148" s="230"/>
      <c r="Q148" s="22"/>
      <c r="R148" s="22"/>
      <c r="S148" s="22"/>
      <c r="T148" s="22"/>
      <c r="U148" s="22"/>
      <c r="V148" s="22"/>
      <c r="W148" s="22"/>
      <c r="X148" s="22"/>
      <c r="Y148" s="22"/>
      <c r="Z148" s="22"/>
      <c r="AA148" s="22"/>
      <c r="AB148" s="22"/>
      <c r="AC148" s="22"/>
      <c r="AD148" s="22"/>
      <c r="AE148" s="22"/>
      <c r="AF148" s="22"/>
      <c r="AG148" s="22"/>
      <c r="AH148" s="22"/>
      <c r="AI148" s="22"/>
      <c r="AJ148" s="22"/>
      <c r="AK148" s="22"/>
      <c r="AL148" s="22"/>
      <c r="AM148" s="22"/>
      <c r="AN148" s="22"/>
      <c r="AO148" s="22"/>
      <c r="AP148" s="22"/>
      <c r="AQ148" s="22"/>
      <c r="AR148" s="22"/>
      <c r="AS148" s="22"/>
      <c r="AT148" s="22"/>
      <c r="AU148" s="22"/>
      <c r="AV148" s="22"/>
      <c r="AW148" s="22"/>
      <c r="AX148" s="22"/>
      <c r="AY148" s="22"/>
      <c r="AZ148" s="22"/>
      <c r="BA148" s="22"/>
      <c r="BB148" s="22"/>
      <c r="BC148" s="22"/>
      <c r="BD148" s="22"/>
      <c r="BE148" s="22"/>
      <c r="BF148" s="22"/>
      <c r="BG148" s="22"/>
      <c r="BH148" s="22"/>
      <c r="BI148" s="22"/>
      <c r="BJ148" s="22"/>
      <c r="BK148" s="22"/>
      <c r="BL148" s="22"/>
      <c r="BM148" s="22"/>
      <c r="BN148" s="22"/>
      <c r="BO148" s="22"/>
      <c r="BP148" s="22"/>
      <c r="BQ148" s="22"/>
      <c r="BR148" s="22"/>
      <c r="BS148" s="22"/>
      <c r="BT148" s="22"/>
    </row>
    <row r="149" spans="1:72" s="227" customFormat="1" ht="27.75" customHeight="1" x14ac:dyDescent="0.25">
      <c r="A149" s="278" t="s">
        <v>174</v>
      </c>
      <c r="B149" s="257"/>
      <c r="C149" s="258" t="s">
        <v>24</v>
      </c>
      <c r="D149" s="258"/>
      <c r="E149" s="259"/>
      <c r="F149" s="259"/>
      <c r="G149" s="355"/>
      <c r="H149" s="260"/>
      <c r="I149" s="261"/>
      <c r="J149" s="262"/>
      <c r="K149" s="372">
        <f>SUM(K150:K151)</f>
        <v>0</v>
      </c>
      <c r="L149" s="264">
        <f>SUM(L150:L151)</f>
        <v>0</v>
      </c>
      <c r="M149" s="265">
        <f>L149+K149</f>
        <v>0</v>
      </c>
      <c r="N149" s="315"/>
      <c r="O149" s="230"/>
      <c r="P149" s="16"/>
      <c r="Q149" s="226"/>
      <c r="R149" s="226"/>
      <c r="S149" s="226"/>
      <c r="T149" s="226"/>
      <c r="U149" s="226"/>
      <c r="V149" s="226"/>
      <c r="W149" s="226"/>
      <c r="X149" s="226"/>
      <c r="Y149" s="226"/>
      <c r="Z149" s="226"/>
      <c r="AA149" s="226"/>
      <c r="AB149" s="226"/>
      <c r="AC149" s="226"/>
      <c r="AD149" s="226"/>
      <c r="AE149" s="226"/>
      <c r="AF149" s="226"/>
      <c r="AG149" s="226"/>
      <c r="AH149" s="226"/>
      <c r="AI149" s="226"/>
      <c r="AJ149" s="226"/>
      <c r="AK149" s="226"/>
      <c r="AL149" s="226"/>
      <c r="AM149" s="226"/>
      <c r="AN149" s="226"/>
      <c r="AO149" s="226"/>
      <c r="AP149" s="226"/>
      <c r="AQ149" s="226"/>
      <c r="AR149" s="226"/>
      <c r="AS149" s="226"/>
      <c r="AT149" s="226"/>
      <c r="AU149" s="226"/>
      <c r="AV149" s="226"/>
      <c r="AW149" s="226"/>
      <c r="AX149" s="226"/>
      <c r="AY149" s="226"/>
      <c r="AZ149" s="226"/>
      <c r="BA149" s="226"/>
      <c r="BB149" s="226"/>
      <c r="BC149" s="226"/>
      <c r="BD149" s="226"/>
      <c r="BE149" s="226"/>
      <c r="BF149" s="226"/>
      <c r="BG149" s="226"/>
      <c r="BH149" s="226"/>
      <c r="BI149" s="226"/>
      <c r="BJ149" s="226"/>
      <c r="BK149" s="226"/>
      <c r="BL149" s="226"/>
      <c r="BM149" s="226"/>
      <c r="BN149" s="226"/>
      <c r="BO149" s="226"/>
      <c r="BP149" s="226"/>
      <c r="BQ149" s="226"/>
      <c r="BR149" s="226"/>
      <c r="BS149" s="226"/>
      <c r="BT149" s="226"/>
    </row>
    <row r="150" spans="1:72" s="229" customFormat="1" ht="42.75" customHeight="1" outlineLevel="1" x14ac:dyDescent="0.2">
      <c r="A150" s="373" t="s">
        <v>307</v>
      </c>
      <c r="B150" s="440"/>
      <c r="C150" s="369" t="s">
        <v>26</v>
      </c>
      <c r="D150" s="301"/>
      <c r="E150" s="302" t="s">
        <v>27</v>
      </c>
      <c r="F150" s="302"/>
      <c r="G150" s="356">
        <f>G152+G167+G175+G193</f>
        <v>6415</v>
      </c>
      <c r="H150" s="371"/>
      <c r="I150" s="134"/>
      <c r="J150" s="304">
        <f>H150+I150</f>
        <v>0</v>
      </c>
      <c r="K150" s="305"/>
      <c r="L150" s="306">
        <f>$G150*I150</f>
        <v>0</v>
      </c>
      <c r="M150" s="307">
        <f>K150+L150</f>
        <v>0</v>
      </c>
      <c r="N150" s="374"/>
      <c r="O150" s="423"/>
      <c r="P150" s="16"/>
      <c r="Q150" s="226"/>
      <c r="R150" s="226"/>
      <c r="S150" s="226"/>
      <c r="T150" s="226"/>
      <c r="U150" s="226"/>
      <c r="V150" s="226"/>
      <c r="W150" s="226"/>
      <c r="X150" s="226"/>
      <c r="Y150" s="226"/>
      <c r="Z150" s="226"/>
      <c r="AA150" s="226"/>
      <c r="AB150" s="226"/>
      <c r="AC150" s="226"/>
      <c r="AD150" s="226"/>
      <c r="AE150" s="226"/>
      <c r="AF150" s="226"/>
      <c r="AG150" s="226"/>
      <c r="AH150" s="226"/>
      <c r="AI150" s="226"/>
      <c r="AJ150" s="226"/>
      <c r="AK150" s="226"/>
      <c r="AL150" s="226"/>
      <c r="AM150" s="226"/>
      <c r="AN150" s="226"/>
      <c r="AO150" s="226"/>
      <c r="AP150" s="226"/>
      <c r="AQ150" s="226"/>
      <c r="AR150" s="226"/>
      <c r="AS150" s="226"/>
      <c r="AT150" s="226"/>
      <c r="AU150" s="226"/>
      <c r="AV150" s="226"/>
      <c r="AW150" s="226"/>
      <c r="AX150" s="226"/>
      <c r="AY150" s="226"/>
      <c r="AZ150" s="226"/>
      <c r="BA150" s="226"/>
      <c r="BB150" s="226"/>
      <c r="BC150" s="226"/>
      <c r="BD150" s="226"/>
      <c r="BE150" s="226"/>
      <c r="BF150" s="226"/>
      <c r="BG150" s="226"/>
      <c r="BH150" s="226"/>
      <c r="BI150" s="226"/>
      <c r="BJ150" s="226"/>
      <c r="BK150" s="226"/>
      <c r="BL150" s="226"/>
      <c r="BM150" s="226"/>
      <c r="BN150" s="226"/>
      <c r="BO150" s="226"/>
      <c r="BP150" s="226"/>
      <c r="BQ150" s="226"/>
      <c r="BR150" s="226"/>
      <c r="BS150" s="226"/>
      <c r="BT150" s="226"/>
    </row>
    <row r="151" spans="1:72" s="23" customFormat="1" ht="48.75" customHeight="1" outlineLevel="1" x14ac:dyDescent="0.25">
      <c r="A151" s="309" t="s">
        <v>308</v>
      </c>
      <c r="B151" s="310"/>
      <c r="C151" s="300" t="s">
        <v>30</v>
      </c>
      <c r="D151" s="301"/>
      <c r="E151" s="302" t="s">
        <v>25</v>
      </c>
      <c r="F151" s="302"/>
      <c r="G151" s="303">
        <f>4326+917.48</f>
        <v>5243.48</v>
      </c>
      <c r="H151" s="124"/>
      <c r="I151" s="134"/>
      <c r="J151" s="304">
        <f>H151+I151</f>
        <v>0</v>
      </c>
      <c r="K151" s="305"/>
      <c r="L151" s="306">
        <f>$G151*I151</f>
        <v>0</v>
      </c>
      <c r="M151" s="307">
        <f>K151+L151</f>
        <v>0</v>
      </c>
      <c r="N151" s="311"/>
      <c r="O151" s="24"/>
      <c r="P151" s="230"/>
      <c r="Q151" s="22"/>
      <c r="R151" s="22"/>
      <c r="S151" s="22"/>
      <c r="T151" s="22"/>
      <c r="U151" s="22"/>
      <c r="V151" s="22"/>
      <c r="W151" s="22"/>
      <c r="X151" s="22"/>
      <c r="Y151" s="22"/>
      <c r="Z151" s="22"/>
      <c r="AA151" s="22"/>
      <c r="AB151" s="22"/>
      <c r="AC151" s="22"/>
      <c r="AD151" s="22"/>
      <c r="AE151" s="22"/>
      <c r="AF151" s="22"/>
      <c r="AG151" s="22"/>
      <c r="AH151" s="22"/>
      <c r="AI151" s="22"/>
      <c r="AJ151" s="22"/>
      <c r="AK151" s="22"/>
      <c r="AL151" s="22"/>
      <c r="AM151" s="22"/>
      <c r="AN151" s="22"/>
      <c r="AO151" s="22"/>
      <c r="AP151" s="22"/>
      <c r="AQ151" s="22"/>
      <c r="AR151" s="22"/>
      <c r="AS151" s="22"/>
      <c r="AT151" s="22"/>
      <c r="AU151" s="22"/>
      <c r="AV151" s="22"/>
      <c r="AW151" s="22"/>
      <c r="AX151" s="22"/>
      <c r="AY151" s="22"/>
      <c r="AZ151" s="22"/>
      <c r="BA151" s="22"/>
      <c r="BB151" s="22"/>
      <c r="BC151" s="22"/>
      <c r="BD151" s="22"/>
      <c r="BE151" s="22"/>
      <c r="BF151" s="22"/>
      <c r="BG151" s="22"/>
      <c r="BH151" s="22"/>
      <c r="BI151" s="22"/>
      <c r="BJ151" s="22"/>
      <c r="BK151" s="22"/>
      <c r="BL151" s="22"/>
      <c r="BM151" s="22"/>
      <c r="BN151" s="22"/>
      <c r="BO151" s="22"/>
      <c r="BP151" s="22"/>
      <c r="BQ151" s="22"/>
      <c r="BR151" s="22"/>
      <c r="BS151" s="22"/>
      <c r="BT151" s="22"/>
    </row>
    <row r="152" spans="1:72" s="23" customFormat="1" ht="27" customHeight="1" x14ac:dyDescent="0.25">
      <c r="A152" s="278" t="s">
        <v>175</v>
      </c>
      <c r="B152" s="257"/>
      <c r="C152" s="258" t="s">
        <v>32</v>
      </c>
      <c r="D152" s="259">
        <f>SUM(D153:D166)</f>
        <v>1.53</v>
      </c>
      <c r="E152" s="259" t="s">
        <v>27</v>
      </c>
      <c r="F152" s="259"/>
      <c r="G152" s="314">
        <v>2572</v>
      </c>
      <c r="H152" s="260"/>
      <c r="I152" s="261"/>
      <c r="J152" s="262"/>
      <c r="K152" s="263">
        <f>SUM(K153:K166)</f>
        <v>0</v>
      </c>
      <c r="L152" s="264">
        <f>SUM(L153:L166)</f>
        <v>0</v>
      </c>
      <c r="M152" s="265">
        <f>L152+K152</f>
        <v>0</v>
      </c>
      <c r="N152" s="315"/>
      <c r="O152" s="24"/>
      <c r="P152" s="24"/>
      <c r="Q152" s="22"/>
      <c r="R152" s="22"/>
      <c r="S152" s="22"/>
      <c r="T152" s="22"/>
      <c r="U152" s="22"/>
      <c r="V152" s="22"/>
      <c r="W152" s="22"/>
      <c r="X152" s="22"/>
      <c r="Y152" s="22"/>
      <c r="Z152" s="22"/>
      <c r="AA152" s="22"/>
      <c r="AB152" s="22"/>
      <c r="AC152" s="22"/>
      <c r="AD152" s="22"/>
      <c r="AE152" s="22"/>
      <c r="AF152" s="22"/>
      <c r="AG152" s="22"/>
      <c r="AH152" s="22"/>
      <c r="AI152" s="22"/>
      <c r="AJ152" s="22"/>
      <c r="AK152" s="22"/>
      <c r="AL152" s="22"/>
      <c r="AM152" s="22"/>
      <c r="AN152" s="22"/>
      <c r="AO152" s="22"/>
      <c r="AP152" s="22"/>
      <c r="AQ152" s="22"/>
      <c r="AR152" s="22"/>
      <c r="AS152" s="22"/>
      <c r="AT152" s="22"/>
      <c r="AU152" s="22"/>
      <c r="AV152" s="22"/>
      <c r="AW152" s="22"/>
      <c r="AX152" s="22"/>
      <c r="AY152" s="22"/>
      <c r="AZ152" s="22"/>
      <c r="BA152" s="22"/>
      <c r="BB152" s="22"/>
      <c r="BC152" s="22"/>
      <c r="BD152" s="22"/>
      <c r="BE152" s="22"/>
      <c r="BF152" s="22"/>
      <c r="BG152" s="22"/>
      <c r="BH152" s="22"/>
      <c r="BI152" s="22"/>
      <c r="BJ152" s="22"/>
      <c r="BK152" s="22"/>
      <c r="BL152" s="22"/>
      <c r="BM152" s="22"/>
      <c r="BN152" s="22"/>
      <c r="BO152" s="22"/>
      <c r="BP152" s="22"/>
      <c r="BQ152" s="22"/>
      <c r="BR152" s="22"/>
      <c r="BS152" s="22"/>
      <c r="BT152" s="22"/>
    </row>
    <row r="153" spans="1:72" s="23" customFormat="1" ht="60" customHeight="1" outlineLevel="1" x14ac:dyDescent="0.25">
      <c r="A153" s="333" t="s">
        <v>250</v>
      </c>
      <c r="B153" s="54"/>
      <c r="C153" s="420" t="s">
        <v>290</v>
      </c>
      <c r="D153" s="313">
        <v>0.05</v>
      </c>
      <c r="E153" s="313" t="s">
        <v>27</v>
      </c>
      <c r="F153" s="319"/>
      <c r="G153" s="123">
        <f>G152+56</f>
        <v>2628</v>
      </c>
      <c r="H153" s="124">
        <f>H154*$G154/$G153</f>
        <v>0</v>
      </c>
      <c r="I153" s="134"/>
      <c r="J153" s="128">
        <f>H153+I153</f>
        <v>0</v>
      </c>
      <c r="K153" s="129">
        <f>G153*H153</f>
        <v>0</v>
      </c>
      <c r="L153" s="130">
        <f>G153*I153</f>
        <v>0</v>
      </c>
      <c r="M153" s="128">
        <f>L153+K153</f>
        <v>0</v>
      </c>
      <c r="N153" s="135" t="s">
        <v>239</v>
      </c>
      <c r="O153" s="24"/>
      <c r="P153" s="21"/>
      <c r="Q153" s="22"/>
      <c r="R153" s="22"/>
      <c r="S153" s="22"/>
      <c r="T153" s="22"/>
      <c r="U153" s="22"/>
      <c r="V153" s="22"/>
      <c r="W153" s="22"/>
      <c r="X153" s="22"/>
      <c r="Y153" s="22"/>
      <c r="Z153" s="22"/>
      <c r="AA153" s="22"/>
      <c r="AB153" s="22"/>
      <c r="AC153" s="22"/>
      <c r="AD153" s="22"/>
      <c r="AE153" s="22"/>
      <c r="AF153" s="22"/>
      <c r="AG153" s="22"/>
      <c r="AH153" s="22"/>
      <c r="AI153" s="22"/>
      <c r="AJ153" s="22"/>
      <c r="AK153" s="22"/>
      <c r="AL153" s="22"/>
      <c r="AM153" s="22"/>
      <c r="AN153" s="22"/>
      <c r="AO153" s="22"/>
      <c r="AP153" s="22"/>
      <c r="AQ153" s="22"/>
      <c r="AR153" s="22"/>
      <c r="AS153" s="22"/>
      <c r="AT153" s="22"/>
      <c r="AU153" s="22"/>
      <c r="AV153" s="22"/>
      <c r="AW153" s="22"/>
      <c r="AX153" s="22"/>
      <c r="AY153" s="22"/>
      <c r="AZ153" s="22"/>
      <c r="BA153" s="22"/>
      <c r="BB153" s="22"/>
      <c r="BC153" s="22"/>
      <c r="BD153" s="22"/>
      <c r="BE153" s="22"/>
      <c r="BF153" s="22"/>
      <c r="BG153" s="22"/>
      <c r="BH153" s="22"/>
      <c r="BI153" s="22"/>
      <c r="BJ153" s="22"/>
      <c r="BK153" s="22"/>
      <c r="BL153" s="22"/>
      <c r="BM153" s="22"/>
      <c r="BN153" s="22"/>
      <c r="BO153" s="22"/>
      <c r="BP153" s="22"/>
      <c r="BQ153" s="22"/>
      <c r="BR153" s="22"/>
      <c r="BS153" s="22"/>
      <c r="BT153" s="22"/>
    </row>
    <row r="154" spans="1:72" s="23" customFormat="1" ht="42.75" customHeight="1" outlineLevel="1" x14ac:dyDescent="0.25">
      <c r="A154" s="334" t="s">
        <v>251</v>
      </c>
      <c r="B154" s="56"/>
      <c r="C154" s="324" t="s">
        <v>291</v>
      </c>
      <c r="D154" s="317"/>
      <c r="E154" s="317" t="s">
        <v>33</v>
      </c>
      <c r="F154" s="320">
        <f>D153*2.4</f>
        <v>0.12</v>
      </c>
      <c r="G154" s="125">
        <f>F154*G153</f>
        <v>315.36</v>
      </c>
      <c r="H154" s="126"/>
      <c r="I154" s="133"/>
      <c r="J154" s="131"/>
      <c r="K154" s="132"/>
      <c r="L154" s="133"/>
      <c r="M154" s="131"/>
      <c r="N154" s="127"/>
      <c r="O154" s="21"/>
      <c r="P154" s="21"/>
      <c r="Q154" s="22"/>
      <c r="R154" s="22"/>
      <c r="S154" s="22"/>
      <c r="T154" s="22"/>
      <c r="U154" s="22"/>
      <c r="V154" s="22"/>
      <c r="W154" s="22"/>
      <c r="X154" s="22"/>
      <c r="Y154" s="22"/>
      <c r="Z154" s="22"/>
      <c r="AA154" s="22"/>
      <c r="AB154" s="22"/>
      <c r="AC154" s="22"/>
      <c r="AD154" s="22"/>
      <c r="AE154" s="22"/>
      <c r="AF154" s="22"/>
      <c r="AG154" s="22"/>
      <c r="AH154" s="22"/>
      <c r="AI154" s="22"/>
      <c r="AJ154" s="22"/>
      <c r="AK154" s="22"/>
      <c r="AL154" s="22"/>
      <c r="AM154" s="22"/>
      <c r="AN154" s="22"/>
      <c r="AO154" s="22"/>
      <c r="AP154" s="22"/>
      <c r="AQ154" s="22"/>
      <c r="AR154" s="22"/>
      <c r="AS154" s="22"/>
      <c r="AT154" s="22"/>
      <c r="AU154" s="22"/>
      <c r="AV154" s="22"/>
      <c r="AW154" s="22"/>
      <c r="AX154" s="22"/>
      <c r="AY154" s="22"/>
      <c r="AZ154" s="22"/>
      <c r="BA154" s="22"/>
      <c r="BB154" s="22"/>
      <c r="BC154" s="22"/>
      <c r="BD154" s="22"/>
      <c r="BE154" s="22"/>
      <c r="BF154" s="22"/>
      <c r="BG154" s="22"/>
      <c r="BH154" s="22"/>
      <c r="BI154" s="22"/>
      <c r="BJ154" s="22"/>
      <c r="BK154" s="22"/>
      <c r="BL154" s="22"/>
      <c r="BM154" s="22"/>
      <c r="BN154" s="22"/>
      <c r="BO154" s="22"/>
      <c r="BP154" s="22"/>
      <c r="BQ154" s="22"/>
      <c r="BR154" s="22"/>
      <c r="BS154" s="22"/>
      <c r="BT154" s="22"/>
    </row>
    <row r="155" spans="1:72" s="23" customFormat="1" ht="26.25" customHeight="1" outlineLevel="1" x14ac:dyDescent="0.25">
      <c r="A155" s="333" t="s">
        <v>252</v>
      </c>
      <c r="B155" s="313"/>
      <c r="C155" s="312" t="s">
        <v>180</v>
      </c>
      <c r="D155" s="313"/>
      <c r="E155" s="313" t="s">
        <v>27</v>
      </c>
      <c r="F155" s="319"/>
      <c r="G155" s="123">
        <f>108/1.1</f>
        <v>98.18</v>
      </c>
      <c r="H155" s="124">
        <f>H156*$G156/$G155</f>
        <v>0</v>
      </c>
      <c r="I155" s="134"/>
      <c r="J155" s="128">
        <f>H155+I155</f>
        <v>0</v>
      </c>
      <c r="K155" s="129">
        <f>G155*H155</f>
        <v>0</v>
      </c>
      <c r="L155" s="130">
        <f>G155*I155</f>
        <v>0</v>
      </c>
      <c r="M155" s="128">
        <f>L155+K155</f>
        <v>0</v>
      </c>
      <c r="N155" s="127"/>
      <c r="O155" s="24"/>
      <c r="P155" s="21"/>
      <c r="Q155" s="22"/>
      <c r="R155" s="22"/>
      <c r="S155" s="22"/>
      <c r="T155" s="22"/>
      <c r="U155" s="22"/>
      <c r="V155" s="22"/>
      <c r="W155" s="22"/>
      <c r="X155" s="22"/>
      <c r="Y155" s="22"/>
      <c r="Z155" s="22"/>
      <c r="AA155" s="22"/>
      <c r="AB155" s="22"/>
      <c r="AC155" s="22"/>
      <c r="AD155" s="22"/>
      <c r="AE155" s="22"/>
      <c r="AF155" s="22"/>
      <c r="AG155" s="22"/>
      <c r="AH155" s="22"/>
      <c r="AI155" s="22"/>
      <c r="AJ155" s="22"/>
      <c r="AK155" s="22"/>
      <c r="AL155" s="22"/>
      <c r="AM155" s="22"/>
      <c r="AN155" s="22"/>
      <c r="AO155" s="22"/>
      <c r="AP155" s="22"/>
      <c r="AQ155" s="22"/>
      <c r="AR155" s="22"/>
      <c r="AS155" s="22"/>
      <c r="AT155" s="22"/>
      <c r="AU155" s="22"/>
      <c r="AV155" s="22"/>
      <c r="AW155" s="22"/>
      <c r="AX155" s="22"/>
      <c r="AY155" s="22"/>
      <c r="AZ155" s="22"/>
      <c r="BA155" s="22"/>
      <c r="BB155" s="22"/>
      <c r="BC155" s="22"/>
      <c r="BD155" s="22"/>
      <c r="BE155" s="22"/>
      <c r="BF155" s="22"/>
      <c r="BG155" s="22"/>
      <c r="BH155" s="22"/>
      <c r="BI155" s="22"/>
      <c r="BJ155" s="22"/>
      <c r="BK155" s="22"/>
      <c r="BL155" s="22"/>
      <c r="BM155" s="22"/>
      <c r="BN155" s="22"/>
      <c r="BO155" s="22"/>
      <c r="BP155" s="22"/>
      <c r="BQ155" s="22"/>
      <c r="BR155" s="22"/>
      <c r="BS155" s="22"/>
      <c r="BT155" s="22"/>
    </row>
    <row r="156" spans="1:72" s="23" customFormat="1" ht="26.25" customHeight="1" outlineLevel="1" x14ac:dyDescent="0.25">
      <c r="A156" s="334" t="s">
        <v>253</v>
      </c>
      <c r="B156" s="321"/>
      <c r="C156" s="324" t="s">
        <v>181</v>
      </c>
      <c r="D156" s="317"/>
      <c r="E156" s="317" t="s">
        <v>27</v>
      </c>
      <c r="F156" s="418">
        <v>1.1000000000000001</v>
      </c>
      <c r="G156" s="125">
        <f>F156*G155</f>
        <v>108</v>
      </c>
      <c r="H156" s="126"/>
      <c r="I156" s="133"/>
      <c r="J156" s="131"/>
      <c r="K156" s="132"/>
      <c r="L156" s="133"/>
      <c r="M156" s="131"/>
      <c r="N156" s="127"/>
      <c r="O156" s="21"/>
      <c r="P156" s="21"/>
      <c r="Q156" s="22"/>
      <c r="R156" s="22"/>
      <c r="S156" s="22"/>
      <c r="T156" s="22"/>
      <c r="U156" s="22"/>
      <c r="V156" s="22"/>
      <c r="W156" s="22"/>
      <c r="X156" s="22"/>
      <c r="Y156" s="22"/>
      <c r="Z156" s="22"/>
      <c r="AA156" s="22"/>
      <c r="AB156" s="22"/>
      <c r="AC156" s="22"/>
      <c r="AD156" s="22"/>
      <c r="AE156" s="22"/>
      <c r="AF156" s="22"/>
      <c r="AG156" s="22"/>
      <c r="AH156" s="22"/>
      <c r="AI156" s="22"/>
      <c r="AJ156" s="22"/>
      <c r="AK156" s="22"/>
      <c r="AL156" s="22"/>
      <c r="AM156" s="22"/>
      <c r="AN156" s="22"/>
      <c r="AO156" s="22"/>
      <c r="AP156" s="22"/>
      <c r="AQ156" s="22"/>
      <c r="AR156" s="22"/>
      <c r="AS156" s="22"/>
      <c r="AT156" s="22"/>
      <c r="AU156" s="22"/>
      <c r="AV156" s="22"/>
      <c r="AW156" s="22"/>
      <c r="AX156" s="22"/>
      <c r="AY156" s="22"/>
      <c r="AZ156" s="22"/>
      <c r="BA156" s="22"/>
      <c r="BB156" s="22"/>
      <c r="BC156" s="22"/>
      <c r="BD156" s="22"/>
      <c r="BE156" s="22"/>
      <c r="BF156" s="22"/>
      <c r="BG156" s="22"/>
      <c r="BH156" s="22"/>
      <c r="BI156" s="22"/>
      <c r="BJ156" s="22"/>
      <c r="BK156" s="22"/>
      <c r="BL156" s="22"/>
      <c r="BM156" s="22"/>
      <c r="BN156" s="22"/>
      <c r="BO156" s="22"/>
      <c r="BP156" s="22"/>
      <c r="BQ156" s="22"/>
      <c r="BR156" s="22"/>
      <c r="BS156" s="22"/>
      <c r="BT156" s="22"/>
    </row>
    <row r="157" spans="1:72" s="23" customFormat="1" ht="59.25" customHeight="1" outlineLevel="1" x14ac:dyDescent="0.25">
      <c r="A157" s="333" t="s">
        <v>254</v>
      </c>
      <c r="B157" s="54"/>
      <c r="C157" s="420" t="s">
        <v>156</v>
      </c>
      <c r="D157" s="313">
        <v>0.1</v>
      </c>
      <c r="E157" s="313" t="s">
        <v>27</v>
      </c>
      <c r="F157" s="319"/>
      <c r="G157" s="123">
        <f>G152</f>
        <v>2572</v>
      </c>
      <c r="H157" s="124">
        <f>H158*$G158/$G157</f>
        <v>0</v>
      </c>
      <c r="I157" s="134"/>
      <c r="J157" s="128">
        <f>H157+I157</f>
        <v>0</v>
      </c>
      <c r="K157" s="129">
        <f>G157*H157</f>
        <v>0</v>
      </c>
      <c r="L157" s="130">
        <f>G157*I157</f>
        <v>0</v>
      </c>
      <c r="M157" s="128">
        <f>L157+K157</f>
        <v>0</v>
      </c>
      <c r="N157" s="55"/>
      <c r="O157" s="21"/>
      <c r="P157" s="21"/>
      <c r="Q157" s="22"/>
      <c r="R157" s="22"/>
      <c r="S157" s="22"/>
      <c r="T157" s="22"/>
      <c r="U157" s="22"/>
      <c r="V157" s="22"/>
      <c r="W157" s="22"/>
      <c r="X157" s="22"/>
      <c r="Y157" s="22"/>
      <c r="Z157" s="22"/>
      <c r="AA157" s="22"/>
      <c r="AB157" s="22"/>
      <c r="AC157" s="22"/>
      <c r="AD157" s="22"/>
      <c r="AE157" s="22"/>
      <c r="AF157" s="22"/>
      <c r="AG157" s="22"/>
      <c r="AH157" s="22"/>
      <c r="AI157" s="22"/>
      <c r="AJ157" s="22"/>
      <c r="AK157" s="22"/>
      <c r="AL157" s="22"/>
      <c r="AM157" s="22"/>
      <c r="AN157" s="22"/>
      <c r="AO157" s="22"/>
      <c r="AP157" s="22"/>
      <c r="AQ157" s="22"/>
      <c r="AR157" s="22"/>
      <c r="AS157" s="22"/>
      <c r="AT157" s="22"/>
      <c r="AU157" s="22"/>
      <c r="AV157" s="22"/>
      <c r="AW157" s="22"/>
      <c r="AX157" s="22"/>
      <c r="AY157" s="22"/>
      <c r="AZ157" s="22"/>
      <c r="BA157" s="22"/>
      <c r="BB157" s="22"/>
      <c r="BC157" s="22"/>
      <c r="BD157" s="22"/>
      <c r="BE157" s="22"/>
      <c r="BF157" s="22"/>
      <c r="BG157" s="22"/>
      <c r="BH157" s="22"/>
      <c r="BI157" s="22"/>
      <c r="BJ157" s="22"/>
      <c r="BK157" s="22"/>
      <c r="BL157" s="22"/>
      <c r="BM157" s="22"/>
      <c r="BN157" s="22"/>
      <c r="BO157" s="22"/>
      <c r="BP157" s="22"/>
      <c r="BQ157" s="22"/>
      <c r="BR157" s="22"/>
      <c r="BS157" s="22"/>
      <c r="BT157" s="22"/>
    </row>
    <row r="158" spans="1:72" s="23" customFormat="1" ht="58.5" customHeight="1" outlineLevel="1" x14ac:dyDescent="0.25">
      <c r="A158" s="334" t="s">
        <v>255</v>
      </c>
      <c r="B158" s="56"/>
      <c r="C158" s="316" t="s">
        <v>157</v>
      </c>
      <c r="D158" s="317"/>
      <c r="E158" s="318" t="s">
        <v>33</v>
      </c>
      <c r="F158" s="318">
        <f>D157*2.4</f>
        <v>0.24</v>
      </c>
      <c r="G158" s="125">
        <f>G157*F158</f>
        <v>617.28</v>
      </c>
      <c r="H158" s="126"/>
      <c r="I158" s="133"/>
      <c r="J158" s="131"/>
      <c r="K158" s="132"/>
      <c r="L158" s="133"/>
      <c r="M158" s="131"/>
      <c r="N158" s="57"/>
      <c r="O158" s="21"/>
      <c r="P158" s="21"/>
      <c r="Q158" s="22"/>
      <c r="R158" s="22"/>
      <c r="S158" s="22"/>
      <c r="T158" s="22"/>
      <c r="U158" s="22"/>
      <c r="V158" s="22"/>
      <c r="W158" s="22"/>
      <c r="X158" s="22"/>
      <c r="Y158" s="22"/>
      <c r="Z158" s="22"/>
      <c r="AA158" s="22"/>
      <c r="AB158" s="22"/>
      <c r="AC158" s="22"/>
      <c r="AD158" s="22"/>
      <c r="AE158" s="22"/>
      <c r="AF158" s="22"/>
      <c r="AG158" s="22"/>
      <c r="AH158" s="22"/>
      <c r="AI158" s="22"/>
      <c r="AJ158" s="22"/>
      <c r="AK158" s="22"/>
      <c r="AL158" s="22"/>
      <c r="AM158" s="22"/>
      <c r="AN158" s="22"/>
      <c r="AO158" s="22"/>
      <c r="AP158" s="22"/>
      <c r="AQ158" s="22"/>
      <c r="AR158" s="22"/>
      <c r="AS158" s="22"/>
      <c r="AT158" s="22"/>
      <c r="AU158" s="22"/>
      <c r="AV158" s="22"/>
      <c r="AW158" s="22"/>
      <c r="AX158" s="22"/>
      <c r="AY158" s="22"/>
      <c r="AZ158" s="22"/>
      <c r="BA158" s="22"/>
      <c r="BB158" s="22"/>
      <c r="BC158" s="22"/>
      <c r="BD158" s="22"/>
      <c r="BE158" s="22"/>
      <c r="BF158" s="22"/>
      <c r="BG158" s="22"/>
      <c r="BH158" s="22"/>
      <c r="BI158" s="22"/>
      <c r="BJ158" s="22"/>
      <c r="BK158" s="22"/>
      <c r="BL158" s="22"/>
      <c r="BM158" s="22"/>
      <c r="BN158" s="22"/>
      <c r="BO158" s="22"/>
      <c r="BP158" s="22"/>
      <c r="BQ158" s="22"/>
      <c r="BR158" s="22"/>
      <c r="BS158" s="22"/>
      <c r="BT158" s="22"/>
    </row>
    <row r="159" spans="1:72" s="23" customFormat="1" ht="41.25" customHeight="1" outlineLevel="1" x14ac:dyDescent="0.25">
      <c r="A159" s="333" t="s">
        <v>256</v>
      </c>
      <c r="B159" s="313"/>
      <c r="C159" s="312" t="s">
        <v>158</v>
      </c>
      <c r="D159" s="313">
        <v>0.37</v>
      </c>
      <c r="E159" s="313" t="s">
        <v>25</v>
      </c>
      <c r="F159" s="319"/>
      <c r="G159" s="330">
        <f>G152*D159</f>
        <v>951.6</v>
      </c>
      <c r="H159" s="124">
        <f>H160*$G160/$G159</f>
        <v>0</v>
      </c>
      <c r="I159" s="134"/>
      <c r="J159" s="128">
        <f>H159+I159</f>
        <v>0</v>
      </c>
      <c r="K159" s="129">
        <f>G159*H159</f>
        <v>0</v>
      </c>
      <c r="L159" s="130">
        <f>G159*I159</f>
        <v>0</v>
      </c>
      <c r="M159" s="128">
        <f>L159+K159</f>
        <v>0</v>
      </c>
      <c r="N159" s="332"/>
      <c r="O159" s="233"/>
      <c r="P159" s="231"/>
      <c r="Q159" s="232"/>
      <c r="R159" s="232"/>
      <c r="S159" s="232"/>
      <c r="T159" s="232"/>
      <c r="U159" s="232"/>
      <c r="V159" s="232"/>
      <c r="W159" s="232"/>
      <c r="X159" s="232"/>
      <c r="Y159" s="232"/>
      <c r="Z159" s="232"/>
      <c r="AA159" s="22"/>
      <c r="AB159" s="22"/>
      <c r="AC159" s="22"/>
      <c r="AD159" s="22"/>
      <c r="AE159" s="22"/>
      <c r="AF159" s="22"/>
      <c r="AG159" s="22"/>
      <c r="AH159" s="22"/>
      <c r="AI159" s="22"/>
      <c r="AJ159" s="22"/>
      <c r="AK159" s="22"/>
      <c r="AL159" s="22"/>
      <c r="AM159" s="22"/>
      <c r="AN159" s="22"/>
      <c r="AO159" s="22"/>
      <c r="AP159" s="22"/>
      <c r="AQ159" s="22"/>
      <c r="AR159" s="22"/>
      <c r="AS159" s="22"/>
      <c r="AT159" s="22"/>
      <c r="AU159" s="22"/>
      <c r="AV159" s="22"/>
      <c r="AW159" s="22"/>
      <c r="AX159" s="22"/>
      <c r="AY159" s="22"/>
      <c r="AZ159" s="22"/>
      <c r="BA159" s="22"/>
      <c r="BB159" s="22"/>
      <c r="BC159" s="22"/>
      <c r="BD159" s="22"/>
      <c r="BE159" s="22"/>
      <c r="BF159" s="22"/>
      <c r="BG159" s="22"/>
      <c r="BH159" s="22"/>
      <c r="BI159" s="22"/>
      <c r="BJ159" s="22"/>
      <c r="BK159" s="22"/>
      <c r="BL159" s="22"/>
      <c r="BM159" s="22"/>
      <c r="BN159" s="22"/>
      <c r="BO159" s="22"/>
      <c r="BP159" s="22"/>
      <c r="BQ159" s="22"/>
      <c r="BR159" s="22"/>
      <c r="BS159" s="22"/>
      <c r="BT159" s="22"/>
    </row>
    <row r="160" spans="1:72" s="23" customFormat="1" ht="27.95" customHeight="1" outlineLevel="1" x14ac:dyDescent="0.25">
      <c r="A160" s="334" t="s">
        <v>257</v>
      </c>
      <c r="B160" s="321">
        <v>4100006709</v>
      </c>
      <c r="C160" s="316" t="s">
        <v>34</v>
      </c>
      <c r="D160" s="317"/>
      <c r="E160" s="318" t="s">
        <v>25</v>
      </c>
      <c r="F160" s="318">
        <v>1.24</v>
      </c>
      <c r="G160" s="125">
        <f>(G159+241)*F160</f>
        <v>1478.82</v>
      </c>
      <c r="H160" s="126"/>
      <c r="I160" s="133"/>
      <c r="J160" s="131"/>
      <c r="K160" s="132"/>
      <c r="L160" s="133"/>
      <c r="M160" s="131"/>
      <c r="N160" s="331" t="s">
        <v>35</v>
      </c>
      <c r="O160" s="233"/>
      <c r="P160" s="233"/>
      <c r="Q160" s="232"/>
      <c r="R160" s="232"/>
      <c r="S160" s="232"/>
      <c r="T160" s="232"/>
      <c r="U160" s="232"/>
      <c r="V160" s="232"/>
      <c r="W160" s="232"/>
      <c r="X160" s="232"/>
      <c r="Y160" s="232"/>
      <c r="Z160" s="232"/>
      <c r="AA160" s="22"/>
      <c r="AB160" s="22"/>
      <c r="AC160" s="22"/>
      <c r="AD160" s="22"/>
      <c r="AE160" s="22"/>
      <c r="AF160" s="22"/>
      <c r="AG160" s="22"/>
      <c r="AH160" s="22"/>
      <c r="AI160" s="22"/>
      <c r="AJ160" s="22"/>
      <c r="AK160" s="22"/>
      <c r="AL160" s="22"/>
      <c r="AM160" s="22"/>
      <c r="AN160" s="22"/>
      <c r="AO160" s="22"/>
      <c r="AP160" s="22"/>
      <c r="AQ160" s="22"/>
      <c r="AR160" s="22"/>
      <c r="AS160" s="22"/>
      <c r="AT160" s="22"/>
      <c r="AU160" s="22"/>
      <c r="AV160" s="22"/>
      <c r="AW160" s="22"/>
      <c r="AX160" s="22"/>
      <c r="AY160" s="22"/>
      <c r="AZ160" s="22"/>
      <c r="BA160" s="22"/>
      <c r="BB160" s="22"/>
      <c r="BC160" s="22"/>
      <c r="BD160" s="22"/>
      <c r="BE160" s="22"/>
      <c r="BF160" s="22"/>
      <c r="BG160" s="22"/>
      <c r="BH160" s="22"/>
      <c r="BI160" s="22"/>
      <c r="BJ160" s="22"/>
      <c r="BK160" s="22"/>
      <c r="BL160" s="22"/>
      <c r="BM160" s="22"/>
      <c r="BN160" s="22"/>
      <c r="BO160" s="22"/>
      <c r="BP160" s="22"/>
      <c r="BQ160" s="22"/>
      <c r="BR160" s="22"/>
      <c r="BS160" s="22"/>
      <c r="BT160" s="22"/>
    </row>
    <row r="161" spans="1:72" s="23" customFormat="1" ht="39.950000000000003" customHeight="1" outlineLevel="1" x14ac:dyDescent="0.25">
      <c r="A161" s="333" t="s">
        <v>258</v>
      </c>
      <c r="B161" s="313"/>
      <c r="C161" s="312" t="s">
        <v>159</v>
      </c>
      <c r="D161" s="322">
        <v>0.51</v>
      </c>
      <c r="E161" s="313" t="s">
        <v>25</v>
      </c>
      <c r="F161" s="319"/>
      <c r="G161" s="123">
        <f>G152*D161</f>
        <v>1311.72</v>
      </c>
      <c r="H161" s="124">
        <f>H162*$G162/$G161</f>
        <v>0</v>
      </c>
      <c r="I161" s="134"/>
      <c r="J161" s="128">
        <f>H161+I161</f>
        <v>0</v>
      </c>
      <c r="K161" s="129">
        <f>G161*H161</f>
        <v>0</v>
      </c>
      <c r="L161" s="130">
        <f>G161*I161</f>
        <v>0</v>
      </c>
      <c r="M161" s="128">
        <f>L161+K161</f>
        <v>0</v>
      </c>
      <c r="N161" s="135"/>
      <c r="O161" s="21"/>
      <c r="P161" s="21"/>
      <c r="Q161" s="22"/>
      <c r="R161" s="22"/>
      <c r="S161" s="22"/>
      <c r="T161" s="22"/>
      <c r="U161" s="22"/>
      <c r="V161" s="22"/>
      <c r="W161" s="22"/>
      <c r="X161" s="22"/>
      <c r="Y161" s="22"/>
      <c r="Z161" s="22"/>
      <c r="AA161" s="22"/>
      <c r="AB161" s="22"/>
      <c r="AC161" s="22"/>
      <c r="AD161" s="22"/>
      <c r="AE161" s="22"/>
      <c r="AF161" s="22"/>
      <c r="AG161" s="22"/>
      <c r="AH161" s="22"/>
      <c r="AI161" s="22"/>
      <c r="AJ161" s="22"/>
      <c r="AK161" s="22"/>
      <c r="AL161" s="22"/>
      <c r="AM161" s="22"/>
      <c r="AN161" s="22"/>
      <c r="AO161" s="22"/>
      <c r="AP161" s="22"/>
      <c r="AQ161" s="22"/>
      <c r="AR161" s="22"/>
      <c r="AS161" s="22"/>
      <c r="AT161" s="22"/>
      <c r="AU161" s="22"/>
      <c r="AV161" s="22"/>
      <c r="AW161" s="22"/>
      <c r="AX161" s="22"/>
      <c r="AY161" s="22"/>
      <c r="AZ161" s="22"/>
      <c r="BA161" s="22"/>
      <c r="BB161" s="22"/>
      <c r="BC161" s="22"/>
      <c r="BD161" s="22"/>
      <c r="BE161" s="22"/>
      <c r="BF161" s="22"/>
      <c r="BG161" s="22"/>
      <c r="BH161" s="22"/>
      <c r="BI161" s="22"/>
      <c r="BJ161" s="22"/>
      <c r="BK161" s="22"/>
      <c r="BL161" s="22"/>
      <c r="BM161" s="22"/>
      <c r="BN161" s="22"/>
      <c r="BO161" s="22"/>
      <c r="BP161" s="22"/>
      <c r="BQ161" s="22"/>
      <c r="BR161" s="22"/>
      <c r="BS161" s="22"/>
      <c r="BT161" s="22"/>
    </row>
    <row r="162" spans="1:72" s="23" customFormat="1" ht="27.95" customHeight="1" outlineLevel="1" x14ac:dyDescent="0.25">
      <c r="A162" s="334" t="s">
        <v>259</v>
      </c>
      <c r="B162" s="321">
        <v>4100008584</v>
      </c>
      <c r="C162" s="316" t="s">
        <v>28</v>
      </c>
      <c r="D162" s="317"/>
      <c r="E162" s="318" t="s">
        <v>25</v>
      </c>
      <c r="F162" s="318">
        <v>1.1000000000000001</v>
      </c>
      <c r="G162" s="125">
        <f>(G161+484.52)*F162</f>
        <v>1975.86</v>
      </c>
      <c r="H162" s="126"/>
      <c r="I162" s="133"/>
      <c r="J162" s="131"/>
      <c r="K162" s="132"/>
      <c r="L162" s="133"/>
      <c r="M162" s="131"/>
      <c r="N162" s="127" t="s">
        <v>36</v>
      </c>
      <c r="O162" s="21"/>
      <c r="P162" s="21"/>
      <c r="Q162" s="22"/>
      <c r="R162" s="22"/>
      <c r="S162" s="22"/>
      <c r="T162" s="22"/>
      <c r="U162" s="22"/>
      <c r="V162" s="22"/>
      <c r="W162" s="22"/>
      <c r="X162" s="22"/>
      <c r="Y162" s="22"/>
      <c r="Z162" s="22"/>
      <c r="AA162" s="22"/>
      <c r="AB162" s="22"/>
      <c r="AC162" s="22"/>
      <c r="AD162" s="22"/>
      <c r="AE162" s="22"/>
      <c r="AF162" s="22"/>
      <c r="AG162" s="22"/>
      <c r="AH162" s="22"/>
      <c r="AI162" s="22"/>
      <c r="AJ162" s="22"/>
      <c r="AK162" s="22"/>
      <c r="AL162" s="22"/>
      <c r="AM162" s="22"/>
      <c r="AN162" s="22"/>
      <c r="AO162" s="22"/>
      <c r="AP162" s="22"/>
      <c r="AQ162" s="22"/>
      <c r="AR162" s="22"/>
      <c r="AS162" s="22"/>
      <c r="AT162" s="22"/>
      <c r="AU162" s="22"/>
      <c r="AV162" s="22"/>
      <c r="AW162" s="22"/>
      <c r="AX162" s="22"/>
      <c r="AY162" s="22"/>
      <c r="AZ162" s="22"/>
      <c r="BA162" s="22"/>
      <c r="BB162" s="22"/>
      <c r="BC162" s="22"/>
      <c r="BD162" s="22"/>
      <c r="BE162" s="22"/>
      <c r="BF162" s="22"/>
      <c r="BG162" s="22"/>
      <c r="BH162" s="22"/>
      <c r="BI162" s="22"/>
      <c r="BJ162" s="22"/>
      <c r="BK162" s="22"/>
      <c r="BL162" s="22"/>
      <c r="BM162" s="22"/>
      <c r="BN162" s="22"/>
      <c r="BO162" s="22"/>
      <c r="BP162" s="22"/>
      <c r="BQ162" s="22"/>
      <c r="BR162" s="22"/>
      <c r="BS162" s="22"/>
      <c r="BT162" s="22"/>
    </row>
    <row r="163" spans="1:72" s="23" customFormat="1" ht="27.95" customHeight="1" outlineLevel="1" x14ac:dyDescent="0.25">
      <c r="A163" s="333" t="s">
        <v>260</v>
      </c>
      <c r="B163" s="313"/>
      <c r="C163" s="300" t="s">
        <v>37</v>
      </c>
      <c r="D163" s="313"/>
      <c r="E163" s="313" t="s">
        <v>27</v>
      </c>
      <c r="F163" s="319"/>
      <c r="G163" s="123">
        <f>G152</f>
        <v>2572</v>
      </c>
      <c r="H163" s="124">
        <f>H164*$G164/$G163</f>
        <v>0</v>
      </c>
      <c r="I163" s="134"/>
      <c r="J163" s="128">
        <f>H163+I163</f>
        <v>0</v>
      </c>
      <c r="K163" s="129">
        <f>G163*H163</f>
        <v>0</v>
      </c>
      <c r="L163" s="130">
        <f>G163*I163</f>
        <v>0</v>
      </c>
      <c r="M163" s="128">
        <f>L163+K163</f>
        <v>0</v>
      </c>
      <c r="N163" s="127"/>
      <c r="O163" s="25"/>
      <c r="P163" s="21"/>
      <c r="Q163" s="22"/>
      <c r="R163" s="22"/>
      <c r="S163" s="22"/>
      <c r="T163" s="22"/>
      <c r="U163" s="22"/>
      <c r="V163" s="22"/>
      <c r="W163" s="22"/>
      <c r="X163" s="22"/>
      <c r="Y163" s="22"/>
      <c r="Z163" s="22"/>
      <c r="AA163" s="22"/>
      <c r="AB163" s="22"/>
      <c r="AC163" s="22"/>
      <c r="AD163" s="22"/>
      <c r="AE163" s="22"/>
      <c r="AF163" s="22"/>
      <c r="AG163" s="22"/>
      <c r="AH163" s="22"/>
      <c r="AI163" s="22"/>
      <c r="AJ163" s="22"/>
      <c r="AK163" s="22"/>
      <c r="AL163" s="22"/>
      <c r="AM163" s="22"/>
      <c r="AN163" s="22"/>
      <c r="AO163" s="22"/>
      <c r="AP163" s="22"/>
      <c r="AQ163" s="22"/>
      <c r="AR163" s="22"/>
      <c r="AS163" s="22"/>
      <c r="AT163" s="22"/>
      <c r="AU163" s="22"/>
      <c r="AV163" s="22"/>
      <c r="AW163" s="22"/>
      <c r="AX163" s="22"/>
      <c r="AY163" s="22"/>
      <c r="AZ163" s="22"/>
      <c r="BA163" s="22"/>
      <c r="BB163" s="22"/>
      <c r="BC163" s="22"/>
      <c r="BD163" s="22"/>
      <c r="BE163" s="22"/>
      <c r="BF163" s="22"/>
      <c r="BG163" s="22"/>
      <c r="BH163" s="22"/>
      <c r="BI163" s="22"/>
      <c r="BJ163" s="22"/>
      <c r="BK163" s="22"/>
      <c r="BL163" s="22"/>
      <c r="BM163" s="22"/>
      <c r="BN163" s="22"/>
      <c r="BO163" s="22"/>
      <c r="BP163" s="22"/>
      <c r="BQ163" s="22"/>
      <c r="BR163" s="22"/>
      <c r="BS163" s="22"/>
      <c r="BT163" s="22"/>
    </row>
    <row r="164" spans="1:72" s="23" customFormat="1" ht="27.95" customHeight="1" outlineLevel="1" x14ac:dyDescent="0.25">
      <c r="A164" s="334" t="s">
        <v>261</v>
      </c>
      <c r="B164" s="323">
        <v>4100009584</v>
      </c>
      <c r="C164" s="324" t="s">
        <v>182</v>
      </c>
      <c r="D164" s="317"/>
      <c r="E164" s="318" t="s">
        <v>27</v>
      </c>
      <c r="F164" s="318">
        <v>1.1000000000000001</v>
      </c>
      <c r="G164" s="125">
        <f>(G163+1094.32)*F164</f>
        <v>4032.95</v>
      </c>
      <c r="H164" s="325"/>
      <c r="I164" s="326"/>
      <c r="J164" s="327"/>
      <c r="K164" s="328"/>
      <c r="L164" s="326"/>
      <c r="M164" s="327"/>
      <c r="N164" s="329" t="s">
        <v>36</v>
      </c>
      <c r="O164" s="233"/>
      <c r="P164" s="25"/>
      <c r="Q164" s="22"/>
      <c r="R164" s="22"/>
      <c r="S164" s="22"/>
      <c r="T164" s="22"/>
      <c r="U164" s="22"/>
      <c r="V164" s="22"/>
      <c r="W164" s="22"/>
      <c r="X164" s="22"/>
      <c r="Y164" s="22"/>
      <c r="Z164" s="22"/>
      <c r="AA164" s="22"/>
      <c r="AB164" s="22"/>
      <c r="AC164" s="22"/>
      <c r="AD164" s="22"/>
      <c r="AE164" s="22"/>
      <c r="AF164" s="22"/>
      <c r="AG164" s="22"/>
      <c r="AH164" s="22"/>
      <c r="AI164" s="22"/>
      <c r="AJ164" s="22"/>
      <c r="AK164" s="22"/>
      <c r="AL164" s="22"/>
      <c r="AM164" s="22"/>
      <c r="AN164" s="22"/>
      <c r="AO164" s="22"/>
      <c r="AP164" s="22"/>
      <c r="AQ164" s="22"/>
      <c r="AR164" s="22"/>
      <c r="AS164" s="22"/>
      <c r="AT164" s="22"/>
      <c r="AU164" s="22"/>
      <c r="AV164" s="22"/>
      <c r="AW164" s="22"/>
      <c r="AX164" s="22"/>
      <c r="AY164" s="22"/>
      <c r="AZ164" s="22"/>
      <c r="BA164" s="22"/>
      <c r="BB164" s="22"/>
      <c r="BC164" s="22"/>
      <c r="BD164" s="22"/>
      <c r="BE164" s="22"/>
      <c r="BF164" s="22"/>
      <c r="BG164" s="22"/>
      <c r="BH164" s="22"/>
      <c r="BI164" s="22"/>
      <c r="BJ164" s="22"/>
      <c r="BK164" s="22"/>
      <c r="BL164" s="22"/>
      <c r="BM164" s="22"/>
      <c r="BN164" s="22"/>
      <c r="BO164" s="22"/>
      <c r="BP164" s="22"/>
      <c r="BQ164" s="22"/>
      <c r="BR164" s="22"/>
      <c r="BS164" s="22"/>
      <c r="BT164" s="22"/>
    </row>
    <row r="165" spans="1:72" s="23" customFormat="1" ht="39.950000000000003" customHeight="1" outlineLevel="1" x14ac:dyDescent="0.25">
      <c r="A165" s="333" t="s">
        <v>262</v>
      </c>
      <c r="B165" s="313"/>
      <c r="C165" s="312" t="s">
        <v>173</v>
      </c>
      <c r="D165" s="322">
        <v>0.5</v>
      </c>
      <c r="E165" s="313" t="s">
        <v>25</v>
      </c>
      <c r="F165" s="319"/>
      <c r="G165" s="123">
        <f>G152*D165</f>
        <v>1286</v>
      </c>
      <c r="H165" s="124">
        <f>H166*$G166/$G165</f>
        <v>0</v>
      </c>
      <c r="I165" s="134"/>
      <c r="J165" s="128">
        <f>H165+I165</f>
        <v>0</v>
      </c>
      <c r="K165" s="129">
        <f>G165*H165</f>
        <v>0</v>
      </c>
      <c r="L165" s="130">
        <f>G165*I165</f>
        <v>0</v>
      </c>
      <c r="M165" s="128">
        <f>L165+K165</f>
        <v>0</v>
      </c>
      <c r="N165" s="127"/>
      <c r="O165" s="25"/>
      <c r="P165" s="21"/>
      <c r="Q165" s="22"/>
      <c r="R165" s="22"/>
      <c r="S165" s="22"/>
      <c r="T165" s="22"/>
      <c r="U165" s="22"/>
      <c r="V165" s="22"/>
      <c r="W165" s="22"/>
      <c r="X165" s="22"/>
      <c r="Y165" s="22"/>
      <c r="Z165" s="22"/>
      <c r="AA165" s="22"/>
      <c r="AB165" s="22"/>
      <c r="AC165" s="22"/>
      <c r="AD165" s="22"/>
      <c r="AE165" s="22"/>
      <c r="AF165" s="22"/>
      <c r="AG165" s="22"/>
      <c r="AH165" s="22"/>
      <c r="AI165" s="22"/>
      <c r="AJ165" s="22"/>
      <c r="AK165" s="22"/>
      <c r="AL165" s="22"/>
      <c r="AM165" s="22"/>
      <c r="AN165" s="22"/>
      <c r="AO165" s="22"/>
      <c r="AP165" s="22"/>
      <c r="AQ165" s="22"/>
      <c r="AR165" s="22"/>
      <c r="AS165" s="22"/>
      <c r="AT165" s="22"/>
      <c r="AU165" s="22"/>
      <c r="AV165" s="22"/>
      <c r="AW165" s="22"/>
      <c r="AX165" s="22"/>
      <c r="AY165" s="22"/>
      <c r="AZ165" s="22"/>
      <c r="BA165" s="22"/>
      <c r="BB165" s="22"/>
      <c r="BC165" s="22"/>
      <c r="BD165" s="22"/>
      <c r="BE165" s="22"/>
      <c r="BF165" s="22"/>
      <c r="BG165" s="22"/>
      <c r="BH165" s="22"/>
      <c r="BI165" s="22"/>
      <c r="BJ165" s="22"/>
      <c r="BK165" s="22"/>
      <c r="BL165" s="22"/>
      <c r="BM165" s="22"/>
      <c r="BN165" s="22"/>
      <c r="BO165" s="22"/>
      <c r="BP165" s="22"/>
      <c r="BQ165" s="22"/>
      <c r="BR165" s="22"/>
      <c r="BS165" s="22"/>
      <c r="BT165" s="22"/>
    </row>
    <row r="166" spans="1:72" s="23" customFormat="1" ht="27.95" customHeight="1" outlineLevel="1" x14ac:dyDescent="0.25">
      <c r="A166" s="334" t="s">
        <v>263</v>
      </c>
      <c r="B166" s="321">
        <v>4100008584</v>
      </c>
      <c r="C166" s="316" t="s">
        <v>28</v>
      </c>
      <c r="D166" s="317"/>
      <c r="E166" s="318" t="s">
        <v>25</v>
      </c>
      <c r="F166" s="318">
        <v>1.1000000000000001</v>
      </c>
      <c r="G166" s="125">
        <f>(G165+383.5)*F166</f>
        <v>1836.45</v>
      </c>
      <c r="H166" s="126"/>
      <c r="I166" s="133"/>
      <c r="J166" s="131"/>
      <c r="K166" s="132"/>
      <c r="L166" s="133"/>
      <c r="M166" s="131"/>
      <c r="N166" s="127" t="s">
        <v>29</v>
      </c>
      <c r="O166" s="233"/>
      <c r="P166" s="21"/>
      <c r="Q166" s="22"/>
      <c r="R166" s="22"/>
      <c r="S166" s="22"/>
      <c r="T166" s="22"/>
      <c r="U166" s="22"/>
      <c r="V166" s="22"/>
      <c r="W166" s="22"/>
      <c r="X166" s="22"/>
      <c r="Y166" s="22"/>
      <c r="Z166" s="22"/>
      <c r="AA166" s="22"/>
      <c r="AB166" s="22"/>
      <c r="AC166" s="22"/>
      <c r="AD166" s="22"/>
      <c r="AE166" s="22"/>
      <c r="AF166" s="22"/>
      <c r="AG166" s="22"/>
      <c r="AH166" s="22"/>
      <c r="AI166" s="22"/>
      <c r="AJ166" s="22"/>
      <c r="AK166" s="22"/>
      <c r="AL166" s="22"/>
      <c r="AM166" s="22"/>
      <c r="AN166" s="22"/>
      <c r="AO166" s="22"/>
      <c r="AP166" s="22"/>
      <c r="AQ166" s="22"/>
      <c r="AR166" s="22"/>
      <c r="AS166" s="22"/>
      <c r="AT166" s="22"/>
      <c r="AU166" s="22"/>
      <c r="AV166" s="22"/>
      <c r="AW166" s="22"/>
      <c r="AX166" s="22"/>
      <c r="AY166" s="22"/>
      <c r="AZ166" s="22"/>
      <c r="BA166" s="22"/>
      <c r="BB166" s="22"/>
      <c r="BC166" s="22"/>
      <c r="BD166" s="22"/>
      <c r="BE166" s="22"/>
      <c r="BF166" s="22"/>
      <c r="BG166" s="22"/>
      <c r="BH166" s="22"/>
      <c r="BI166" s="22"/>
      <c r="BJ166" s="22"/>
      <c r="BK166" s="22"/>
      <c r="BL166" s="22"/>
      <c r="BM166" s="22"/>
      <c r="BN166" s="22"/>
      <c r="BO166" s="22"/>
      <c r="BP166" s="22"/>
      <c r="BQ166" s="22"/>
      <c r="BR166" s="22"/>
      <c r="BS166" s="22"/>
      <c r="BT166" s="22"/>
    </row>
    <row r="167" spans="1:72" s="23" customFormat="1" ht="27" customHeight="1" x14ac:dyDescent="0.25">
      <c r="A167" s="278" t="s">
        <v>176</v>
      </c>
      <c r="B167" s="257"/>
      <c r="C167" s="258" t="s">
        <v>292</v>
      </c>
      <c r="D167" s="259">
        <f>SUM(D168:D174)</f>
        <v>0.77</v>
      </c>
      <c r="E167" s="259" t="s">
        <v>27</v>
      </c>
      <c r="F167" s="259"/>
      <c r="G167" s="314">
        <v>215</v>
      </c>
      <c r="H167" s="260"/>
      <c r="I167" s="261"/>
      <c r="J167" s="262"/>
      <c r="K167" s="263">
        <f>SUM(K168:K174)</f>
        <v>0</v>
      </c>
      <c r="L167" s="264">
        <f>SUM(L168:L174)</f>
        <v>0</v>
      </c>
      <c r="M167" s="265">
        <f>L167+K167</f>
        <v>0</v>
      </c>
      <c r="N167" s="315"/>
      <c r="O167" s="24"/>
      <c r="P167" s="24"/>
      <c r="Q167" s="22"/>
      <c r="R167" s="22"/>
      <c r="S167" s="22"/>
      <c r="T167" s="22"/>
      <c r="U167" s="22"/>
      <c r="V167" s="22"/>
      <c r="W167" s="22"/>
      <c r="X167" s="22"/>
      <c r="Y167" s="22"/>
      <c r="Z167" s="22"/>
      <c r="AA167" s="22"/>
      <c r="AB167" s="22"/>
      <c r="AC167" s="22"/>
      <c r="AD167" s="22"/>
      <c r="AE167" s="22"/>
      <c r="AF167" s="22"/>
      <c r="AG167" s="22"/>
      <c r="AH167" s="22"/>
      <c r="AI167" s="22"/>
      <c r="AJ167" s="22"/>
      <c r="AK167" s="22"/>
      <c r="AL167" s="22"/>
      <c r="AM167" s="22"/>
      <c r="AN167" s="22"/>
      <c r="AO167" s="22"/>
      <c r="AP167" s="22"/>
      <c r="AQ167" s="22"/>
      <c r="AR167" s="22"/>
      <c r="AS167" s="22"/>
      <c r="AT167" s="22"/>
      <c r="AU167" s="22"/>
      <c r="AV167" s="22"/>
      <c r="AW167" s="22"/>
      <c r="AX167" s="22"/>
      <c r="AY167" s="22"/>
      <c r="AZ167" s="22"/>
      <c r="BA167" s="22"/>
      <c r="BB167" s="22"/>
      <c r="BC167" s="22"/>
      <c r="BD167" s="22"/>
      <c r="BE167" s="22"/>
      <c r="BF167" s="22"/>
      <c r="BG167" s="22"/>
      <c r="BH167" s="22"/>
      <c r="BI167" s="22"/>
      <c r="BJ167" s="22"/>
      <c r="BK167" s="22"/>
      <c r="BL167" s="22"/>
      <c r="BM167" s="22"/>
      <c r="BN167" s="22"/>
      <c r="BO167" s="22"/>
      <c r="BP167" s="22"/>
      <c r="BQ167" s="22"/>
      <c r="BR167" s="22"/>
      <c r="BS167" s="22"/>
      <c r="BT167" s="22"/>
    </row>
    <row r="168" spans="1:72" s="23" customFormat="1" ht="54.75" customHeight="1" outlineLevel="1" x14ac:dyDescent="0.25">
      <c r="A168" s="333" t="s">
        <v>264</v>
      </c>
      <c r="B168" s="313"/>
      <c r="C168" s="420" t="s">
        <v>305</v>
      </c>
      <c r="D168" s="313">
        <f>0.06+0.05</f>
        <v>0.11</v>
      </c>
      <c r="E168" s="313" t="s">
        <v>27</v>
      </c>
      <c r="F168" s="319"/>
      <c r="G168" s="123">
        <f>G167</f>
        <v>215</v>
      </c>
      <c r="H168" s="126"/>
      <c r="I168" s="134"/>
      <c r="J168" s="128">
        <f>H168+I168</f>
        <v>0</v>
      </c>
      <c r="K168" s="129">
        <f>G168*H168</f>
        <v>0</v>
      </c>
      <c r="L168" s="130">
        <f>G168*I168</f>
        <v>0</v>
      </c>
      <c r="M168" s="128">
        <f>L168+K168</f>
        <v>0</v>
      </c>
      <c r="N168" s="135" t="s">
        <v>304</v>
      </c>
      <c r="O168" s="25"/>
      <c r="P168" s="21"/>
      <c r="Q168" s="22"/>
      <c r="R168" s="22"/>
      <c r="S168" s="22"/>
      <c r="T168" s="22"/>
      <c r="U168" s="22"/>
      <c r="V168" s="22"/>
      <c r="W168" s="22"/>
      <c r="X168" s="22"/>
      <c r="Y168" s="22"/>
      <c r="Z168" s="22"/>
      <c r="AA168" s="22"/>
      <c r="AB168" s="22"/>
      <c r="AC168" s="22"/>
      <c r="AD168" s="22"/>
      <c r="AE168" s="22"/>
      <c r="AF168" s="22"/>
      <c r="AG168" s="22"/>
      <c r="AH168" s="22"/>
      <c r="AI168" s="22"/>
      <c r="AJ168" s="22"/>
      <c r="AK168" s="22"/>
      <c r="AL168" s="22"/>
      <c r="AM168" s="22"/>
      <c r="AN168" s="22"/>
      <c r="AO168" s="22"/>
      <c r="AP168" s="22"/>
      <c r="AQ168" s="22"/>
      <c r="AR168" s="22"/>
      <c r="AS168" s="22"/>
      <c r="AT168" s="22"/>
      <c r="AU168" s="22"/>
      <c r="AV168" s="22"/>
      <c r="AW168" s="22"/>
      <c r="AX168" s="22"/>
      <c r="AY168" s="22"/>
      <c r="AZ168" s="22"/>
      <c r="BA168" s="22"/>
      <c r="BB168" s="22"/>
      <c r="BC168" s="22"/>
      <c r="BD168" s="22"/>
      <c r="BE168" s="22"/>
      <c r="BF168" s="22"/>
      <c r="BG168" s="22"/>
      <c r="BH168" s="22"/>
      <c r="BI168" s="22"/>
      <c r="BJ168" s="22"/>
      <c r="BK168" s="22"/>
      <c r="BL168" s="22"/>
      <c r="BM168" s="22"/>
      <c r="BN168" s="22"/>
      <c r="BO168" s="22"/>
      <c r="BP168" s="22"/>
      <c r="BQ168" s="22"/>
      <c r="BR168" s="22"/>
      <c r="BS168" s="22"/>
      <c r="BT168" s="22"/>
    </row>
    <row r="169" spans="1:72" s="23" customFormat="1" ht="39.950000000000003" customHeight="1" outlineLevel="1" x14ac:dyDescent="0.25">
      <c r="A169" s="333" t="s">
        <v>268</v>
      </c>
      <c r="B169" s="313"/>
      <c r="C169" s="312" t="s">
        <v>306</v>
      </c>
      <c r="D169" s="313">
        <v>0.15</v>
      </c>
      <c r="E169" s="313" t="s">
        <v>25</v>
      </c>
      <c r="F169" s="319"/>
      <c r="G169" s="330">
        <f>G167*D169</f>
        <v>32.299999999999997</v>
      </c>
      <c r="H169" s="124">
        <f>H170*$G170/$G169</f>
        <v>0</v>
      </c>
      <c r="I169" s="134"/>
      <c r="J169" s="128">
        <f>H169+I169</f>
        <v>0</v>
      </c>
      <c r="K169" s="129">
        <f>G169*H169</f>
        <v>0</v>
      </c>
      <c r="L169" s="130">
        <f>G169*I169</f>
        <v>0</v>
      </c>
      <c r="M169" s="128">
        <f>L169+K169</f>
        <v>0</v>
      </c>
      <c r="N169" s="332"/>
      <c r="O169" s="24"/>
      <c r="P169" s="231"/>
      <c r="Q169" s="232"/>
      <c r="R169" s="232"/>
      <c r="S169" s="232"/>
      <c r="T169" s="232"/>
      <c r="U169" s="232"/>
      <c r="V169" s="232"/>
      <c r="W169" s="232"/>
      <c r="X169" s="232"/>
      <c r="Y169" s="232"/>
      <c r="Z169" s="232"/>
      <c r="AA169" s="22"/>
      <c r="AB169" s="22"/>
      <c r="AC169" s="22"/>
      <c r="AD169" s="22"/>
      <c r="AE169" s="22"/>
      <c r="AF169" s="22"/>
      <c r="AG169" s="22"/>
      <c r="AH169" s="22"/>
      <c r="AI169" s="22"/>
      <c r="AJ169" s="22"/>
      <c r="AK169" s="22"/>
      <c r="AL169" s="22"/>
      <c r="AM169" s="22"/>
      <c r="AN169" s="22"/>
      <c r="AO169" s="22"/>
      <c r="AP169" s="22"/>
      <c r="AQ169" s="22"/>
      <c r="AR169" s="22"/>
      <c r="AS169" s="22"/>
      <c r="AT169" s="22"/>
      <c r="AU169" s="22"/>
      <c r="AV169" s="22"/>
      <c r="AW169" s="22"/>
      <c r="AX169" s="22"/>
      <c r="AY169" s="22"/>
      <c r="AZ169" s="22"/>
      <c r="BA169" s="22"/>
      <c r="BB169" s="22"/>
      <c r="BC169" s="22"/>
      <c r="BD169" s="22"/>
      <c r="BE169" s="22"/>
      <c r="BF169" s="22"/>
      <c r="BG169" s="22"/>
      <c r="BH169" s="22"/>
      <c r="BI169" s="22"/>
      <c r="BJ169" s="22"/>
      <c r="BK169" s="22"/>
      <c r="BL169" s="22"/>
      <c r="BM169" s="22"/>
      <c r="BN169" s="22"/>
      <c r="BO169" s="22"/>
      <c r="BP169" s="22"/>
      <c r="BQ169" s="22"/>
      <c r="BR169" s="22"/>
      <c r="BS169" s="22"/>
      <c r="BT169" s="22"/>
    </row>
    <row r="170" spans="1:72" s="23" customFormat="1" ht="27.95" customHeight="1" outlineLevel="1" x14ac:dyDescent="0.25">
      <c r="A170" s="334" t="s">
        <v>270</v>
      </c>
      <c r="B170" s="321">
        <v>4100006709</v>
      </c>
      <c r="C170" s="316" t="s">
        <v>34</v>
      </c>
      <c r="D170" s="317"/>
      <c r="E170" s="318" t="s">
        <v>25</v>
      </c>
      <c r="F170" s="318">
        <v>1.24</v>
      </c>
      <c r="G170" s="125">
        <f>(G169)*F170</f>
        <v>40.049999999999997</v>
      </c>
      <c r="H170" s="126"/>
      <c r="I170" s="133"/>
      <c r="J170" s="131"/>
      <c r="K170" s="132"/>
      <c r="L170" s="133"/>
      <c r="M170" s="131"/>
      <c r="N170" s="331"/>
      <c r="P170" s="233"/>
      <c r="Q170" s="232"/>
      <c r="R170" s="232"/>
      <c r="S170" s="232"/>
      <c r="T170" s="232"/>
      <c r="U170" s="232"/>
      <c r="V170" s="232"/>
      <c r="W170" s="232"/>
      <c r="X170" s="232"/>
      <c r="Y170" s="232"/>
      <c r="Z170" s="232"/>
      <c r="AA170" s="22"/>
      <c r="AB170" s="22"/>
      <c r="AC170" s="22"/>
      <c r="AD170" s="22"/>
      <c r="AE170" s="22"/>
      <c r="AF170" s="22"/>
      <c r="AG170" s="22"/>
      <c r="AH170" s="22"/>
      <c r="AI170" s="22"/>
      <c r="AJ170" s="22"/>
      <c r="AK170" s="22"/>
      <c r="AL170" s="22"/>
      <c r="AM170" s="22"/>
      <c r="AN170" s="22"/>
      <c r="AO170" s="22"/>
      <c r="AP170" s="22"/>
      <c r="AQ170" s="22"/>
      <c r="AR170" s="22"/>
      <c r="AS170" s="22"/>
      <c r="AT170" s="22"/>
      <c r="AU170" s="22"/>
      <c r="AV170" s="22"/>
      <c r="AW170" s="22"/>
      <c r="AX170" s="22"/>
      <c r="AY170" s="22"/>
      <c r="AZ170" s="22"/>
      <c r="BA170" s="22"/>
      <c r="BB170" s="22"/>
      <c r="BC170" s="22"/>
      <c r="BD170" s="22"/>
      <c r="BE170" s="22"/>
      <c r="BF170" s="22"/>
      <c r="BG170" s="22"/>
      <c r="BH170" s="22"/>
      <c r="BI170" s="22"/>
      <c r="BJ170" s="22"/>
      <c r="BK170" s="22"/>
      <c r="BL170" s="22"/>
      <c r="BM170" s="22"/>
      <c r="BN170" s="22"/>
      <c r="BO170" s="22"/>
      <c r="BP170" s="22"/>
      <c r="BQ170" s="22"/>
      <c r="BR170" s="22"/>
      <c r="BS170" s="22"/>
      <c r="BT170" s="22"/>
    </row>
    <row r="171" spans="1:72" s="23" customFormat="1" ht="39.950000000000003" customHeight="1" outlineLevel="1" x14ac:dyDescent="0.25">
      <c r="A171" s="333" t="s">
        <v>269</v>
      </c>
      <c r="B171" s="313"/>
      <c r="C171" s="312" t="s">
        <v>159</v>
      </c>
      <c r="D171" s="322">
        <v>0.51</v>
      </c>
      <c r="E171" s="313" t="s">
        <v>25</v>
      </c>
      <c r="F171" s="319"/>
      <c r="G171" s="123">
        <f>G167*D171</f>
        <v>109.65</v>
      </c>
      <c r="H171" s="124">
        <f>H172*$G172/$G171</f>
        <v>0</v>
      </c>
      <c r="I171" s="134"/>
      <c r="J171" s="128">
        <f>H171+I171</f>
        <v>0</v>
      </c>
      <c r="K171" s="129">
        <f>G171*H171</f>
        <v>0</v>
      </c>
      <c r="L171" s="130">
        <f>G171*I171</f>
        <v>0</v>
      </c>
      <c r="M171" s="128">
        <f>L171+K171</f>
        <v>0</v>
      </c>
      <c r="N171" s="135"/>
      <c r="O171" s="24"/>
      <c r="P171" s="21"/>
      <c r="Q171" s="22"/>
      <c r="R171" s="22"/>
      <c r="S171" s="22"/>
      <c r="T171" s="22"/>
      <c r="U171" s="22"/>
      <c r="V171" s="22"/>
      <c r="W171" s="22"/>
      <c r="X171" s="22"/>
      <c r="Y171" s="22"/>
      <c r="Z171" s="22"/>
      <c r="AA171" s="22"/>
      <c r="AB171" s="22"/>
      <c r="AC171" s="22"/>
      <c r="AD171" s="22"/>
      <c r="AE171" s="22"/>
      <c r="AF171" s="22"/>
      <c r="AG171" s="22"/>
      <c r="AH171" s="22"/>
      <c r="AI171" s="22"/>
      <c r="AJ171" s="22"/>
      <c r="AK171" s="22"/>
      <c r="AL171" s="22"/>
      <c r="AM171" s="22"/>
      <c r="AN171" s="22"/>
      <c r="AO171" s="22"/>
      <c r="AP171" s="22"/>
      <c r="AQ171" s="22"/>
      <c r="AR171" s="22"/>
      <c r="AS171" s="22"/>
      <c r="AT171" s="22"/>
      <c r="AU171" s="22"/>
      <c r="AV171" s="22"/>
      <c r="AW171" s="22"/>
      <c r="AX171" s="22"/>
      <c r="AY171" s="22"/>
      <c r="AZ171" s="22"/>
      <c r="BA171" s="22"/>
      <c r="BB171" s="22"/>
      <c r="BC171" s="22"/>
      <c r="BD171" s="22"/>
      <c r="BE171" s="22"/>
      <c r="BF171" s="22"/>
      <c r="BG171" s="22"/>
      <c r="BH171" s="22"/>
      <c r="BI171" s="22"/>
      <c r="BJ171" s="22"/>
      <c r="BK171" s="22"/>
      <c r="BL171" s="22"/>
      <c r="BM171" s="22"/>
      <c r="BN171" s="22"/>
      <c r="BO171" s="22"/>
      <c r="BP171" s="22"/>
      <c r="BQ171" s="22"/>
      <c r="BR171" s="22"/>
      <c r="BS171" s="22"/>
      <c r="BT171" s="22"/>
    </row>
    <row r="172" spans="1:72" s="23" customFormat="1" ht="27.95" customHeight="1" outlineLevel="1" x14ac:dyDescent="0.25">
      <c r="A172" s="334" t="s">
        <v>272</v>
      </c>
      <c r="B172" s="321">
        <v>4100008584</v>
      </c>
      <c r="C172" s="316" t="s">
        <v>28</v>
      </c>
      <c r="D172" s="317"/>
      <c r="E172" s="318" t="s">
        <v>25</v>
      </c>
      <c r="F172" s="318">
        <v>1.1000000000000001</v>
      </c>
      <c r="G172" s="125">
        <f>(G171+98.34)*F172</f>
        <v>228.79</v>
      </c>
      <c r="H172" s="126"/>
      <c r="I172" s="133"/>
      <c r="J172" s="131"/>
      <c r="K172" s="132"/>
      <c r="L172" s="133"/>
      <c r="M172" s="131"/>
      <c r="N172" s="127" t="s">
        <v>36</v>
      </c>
      <c r="O172" s="25"/>
      <c r="P172" s="21"/>
      <c r="Q172" s="22"/>
      <c r="R172" s="22"/>
      <c r="S172" s="22"/>
      <c r="T172" s="22"/>
      <c r="U172" s="22"/>
      <c r="V172" s="22"/>
      <c r="W172" s="22"/>
      <c r="X172" s="22"/>
      <c r="Y172" s="22"/>
      <c r="Z172" s="22"/>
      <c r="AA172" s="22"/>
      <c r="AB172" s="22"/>
      <c r="AC172" s="22"/>
      <c r="AD172" s="22"/>
      <c r="AE172" s="22"/>
      <c r="AF172" s="22"/>
      <c r="AG172" s="22"/>
      <c r="AH172" s="22"/>
      <c r="AI172" s="22"/>
      <c r="AJ172" s="22"/>
      <c r="AK172" s="22"/>
      <c r="AL172" s="22"/>
      <c r="AM172" s="22"/>
      <c r="AN172" s="22"/>
      <c r="AO172" s="22"/>
      <c r="AP172" s="22"/>
      <c r="AQ172" s="22"/>
      <c r="AR172" s="22"/>
      <c r="AS172" s="22"/>
      <c r="AT172" s="22"/>
      <c r="AU172" s="22"/>
      <c r="AV172" s="22"/>
      <c r="AW172" s="22"/>
      <c r="AX172" s="22"/>
      <c r="AY172" s="22"/>
      <c r="AZ172" s="22"/>
      <c r="BA172" s="22"/>
      <c r="BB172" s="22"/>
      <c r="BC172" s="22"/>
      <c r="BD172" s="22"/>
      <c r="BE172" s="22"/>
      <c r="BF172" s="22"/>
      <c r="BG172" s="22"/>
      <c r="BH172" s="22"/>
      <c r="BI172" s="22"/>
      <c r="BJ172" s="22"/>
      <c r="BK172" s="22"/>
      <c r="BL172" s="22"/>
      <c r="BM172" s="22"/>
      <c r="BN172" s="22"/>
      <c r="BO172" s="22"/>
      <c r="BP172" s="22"/>
      <c r="BQ172" s="22"/>
      <c r="BR172" s="22"/>
      <c r="BS172" s="22"/>
      <c r="BT172" s="22"/>
    </row>
    <row r="173" spans="1:72" s="23" customFormat="1" ht="27.95" customHeight="1" outlineLevel="1" x14ac:dyDescent="0.25">
      <c r="A173" s="333" t="s">
        <v>265</v>
      </c>
      <c r="B173" s="313"/>
      <c r="C173" s="300" t="s">
        <v>37</v>
      </c>
      <c r="D173" s="313"/>
      <c r="E173" s="313" t="s">
        <v>27</v>
      </c>
      <c r="F173" s="319"/>
      <c r="G173" s="123">
        <f>G167</f>
        <v>215</v>
      </c>
      <c r="H173" s="124">
        <f>H174*$G174/$G173</f>
        <v>0</v>
      </c>
      <c r="I173" s="134"/>
      <c r="J173" s="128">
        <f>H173+I173</f>
        <v>0</v>
      </c>
      <c r="K173" s="129">
        <f>G173*H173</f>
        <v>0</v>
      </c>
      <c r="L173" s="130">
        <f>G173*I173</f>
        <v>0</v>
      </c>
      <c r="M173" s="128">
        <f>L173+K173</f>
        <v>0</v>
      </c>
      <c r="N173" s="127"/>
      <c r="O173" s="25"/>
      <c r="P173" s="21"/>
      <c r="Q173" s="22"/>
      <c r="R173" s="22"/>
      <c r="S173" s="22"/>
      <c r="T173" s="22"/>
      <c r="U173" s="22"/>
      <c r="V173" s="22"/>
      <c r="W173" s="22"/>
      <c r="X173" s="22"/>
      <c r="Y173" s="22"/>
      <c r="Z173" s="22"/>
      <c r="AA173" s="22"/>
      <c r="AB173" s="22"/>
      <c r="AC173" s="22"/>
      <c r="AD173" s="22"/>
      <c r="AE173" s="22"/>
      <c r="AF173" s="22"/>
      <c r="AG173" s="22"/>
      <c r="AH173" s="22"/>
      <c r="AI173" s="22"/>
      <c r="AJ173" s="22"/>
      <c r="AK173" s="22"/>
      <c r="AL173" s="22"/>
      <c r="AM173" s="22"/>
      <c r="AN173" s="22"/>
      <c r="AO173" s="22"/>
      <c r="AP173" s="22"/>
      <c r="AQ173" s="22"/>
      <c r="AR173" s="22"/>
      <c r="AS173" s="22"/>
      <c r="AT173" s="22"/>
      <c r="AU173" s="22"/>
      <c r="AV173" s="22"/>
      <c r="AW173" s="22"/>
      <c r="AX173" s="22"/>
      <c r="AY173" s="22"/>
      <c r="AZ173" s="22"/>
      <c r="BA173" s="22"/>
      <c r="BB173" s="22"/>
      <c r="BC173" s="22"/>
      <c r="BD173" s="22"/>
      <c r="BE173" s="22"/>
      <c r="BF173" s="22"/>
      <c r="BG173" s="22"/>
      <c r="BH173" s="22"/>
      <c r="BI173" s="22"/>
      <c r="BJ173" s="22"/>
      <c r="BK173" s="22"/>
      <c r="BL173" s="22"/>
      <c r="BM173" s="22"/>
      <c r="BN173" s="22"/>
      <c r="BO173" s="22"/>
      <c r="BP173" s="22"/>
      <c r="BQ173" s="22"/>
      <c r="BR173" s="22"/>
      <c r="BS173" s="22"/>
      <c r="BT173" s="22"/>
    </row>
    <row r="174" spans="1:72" s="23" customFormat="1" ht="27.95" customHeight="1" outlineLevel="1" x14ac:dyDescent="0.25">
      <c r="A174" s="334" t="s">
        <v>271</v>
      </c>
      <c r="B174" s="323">
        <v>4100009584</v>
      </c>
      <c r="C174" s="324" t="s">
        <v>182</v>
      </c>
      <c r="D174" s="317"/>
      <c r="E174" s="318" t="s">
        <v>27</v>
      </c>
      <c r="F174" s="318">
        <v>1.1000000000000001</v>
      </c>
      <c r="G174" s="125">
        <f>(G173+200)*F174</f>
        <v>456.5</v>
      </c>
      <c r="H174" s="325"/>
      <c r="I174" s="326"/>
      <c r="J174" s="327"/>
      <c r="K174" s="328"/>
      <c r="L174" s="326"/>
      <c r="M174" s="327"/>
      <c r="N174" s="329" t="s">
        <v>36</v>
      </c>
      <c r="O174" s="233"/>
      <c r="P174" s="25"/>
      <c r="Q174" s="22"/>
      <c r="R174" s="22"/>
      <c r="S174" s="22"/>
      <c r="T174" s="22"/>
      <c r="U174" s="22"/>
      <c r="V174" s="22"/>
      <c r="W174" s="22"/>
      <c r="X174" s="22"/>
      <c r="Y174" s="22"/>
      <c r="Z174" s="22"/>
      <c r="AA174" s="22"/>
      <c r="AB174" s="22"/>
      <c r="AC174" s="22"/>
      <c r="AD174" s="22"/>
      <c r="AE174" s="22"/>
      <c r="AF174" s="22"/>
      <c r="AG174" s="22"/>
      <c r="AH174" s="22"/>
      <c r="AI174" s="22"/>
      <c r="AJ174" s="22"/>
      <c r="AK174" s="22"/>
      <c r="AL174" s="22"/>
      <c r="AM174" s="22"/>
      <c r="AN174" s="22"/>
      <c r="AO174" s="22"/>
      <c r="AP174" s="22"/>
      <c r="AQ174" s="22"/>
      <c r="AR174" s="22"/>
      <c r="AS174" s="22"/>
      <c r="AT174" s="22"/>
      <c r="AU174" s="22"/>
      <c r="AV174" s="22"/>
      <c r="AW174" s="22"/>
      <c r="AX174" s="22"/>
      <c r="AY174" s="22"/>
      <c r="AZ174" s="22"/>
      <c r="BA174" s="22"/>
      <c r="BB174" s="22"/>
      <c r="BC174" s="22"/>
      <c r="BD174" s="22"/>
      <c r="BE174" s="22"/>
      <c r="BF174" s="22"/>
      <c r="BG174" s="22"/>
      <c r="BH174" s="22"/>
      <c r="BI174" s="22"/>
      <c r="BJ174" s="22"/>
      <c r="BK174" s="22"/>
      <c r="BL174" s="22"/>
      <c r="BM174" s="22"/>
      <c r="BN174" s="22"/>
      <c r="BO174" s="22"/>
      <c r="BP174" s="22"/>
      <c r="BQ174" s="22"/>
      <c r="BR174" s="22"/>
      <c r="BS174" s="22"/>
      <c r="BT174" s="22"/>
    </row>
    <row r="175" spans="1:72" s="23" customFormat="1" ht="27.95" customHeight="1" x14ac:dyDescent="0.25">
      <c r="A175" s="278" t="s">
        <v>226</v>
      </c>
      <c r="B175" s="257"/>
      <c r="C175" s="258" t="s">
        <v>293</v>
      </c>
      <c r="D175" s="259">
        <f>SUM(D176:D183)</f>
        <v>0.53</v>
      </c>
      <c r="E175" s="259" t="s">
        <v>27</v>
      </c>
      <c r="F175" s="259"/>
      <c r="G175" s="314">
        <v>368</v>
      </c>
      <c r="H175" s="260"/>
      <c r="I175" s="261"/>
      <c r="J175" s="262"/>
      <c r="K175" s="263">
        <f>SUM(K176:K183)</f>
        <v>0</v>
      </c>
      <c r="L175" s="264">
        <f>SUM(L176:L183)</f>
        <v>0</v>
      </c>
      <c r="M175" s="265">
        <f>L175+K175</f>
        <v>0</v>
      </c>
      <c r="N175" s="315"/>
      <c r="O175" s="24"/>
      <c r="P175" s="24"/>
      <c r="Q175" s="22"/>
      <c r="R175" s="22"/>
      <c r="S175" s="22"/>
      <c r="T175" s="22"/>
      <c r="U175" s="22"/>
      <c r="V175" s="22"/>
      <c r="W175" s="22"/>
      <c r="X175" s="22"/>
      <c r="Y175" s="22"/>
      <c r="Z175" s="22"/>
      <c r="AA175" s="22"/>
      <c r="AB175" s="22"/>
      <c r="AC175" s="22"/>
      <c r="AD175" s="22"/>
      <c r="AE175" s="22"/>
      <c r="AF175" s="22"/>
      <c r="AG175" s="22"/>
      <c r="AH175" s="22"/>
      <c r="AI175" s="22"/>
      <c r="AJ175" s="22"/>
      <c r="AK175" s="22"/>
      <c r="AL175" s="22"/>
      <c r="AM175" s="22"/>
      <c r="AN175" s="22"/>
      <c r="AO175" s="22"/>
      <c r="AP175" s="22"/>
      <c r="AQ175" s="22"/>
      <c r="AR175" s="22"/>
      <c r="AS175" s="22"/>
      <c r="AT175" s="22"/>
      <c r="AU175" s="22"/>
      <c r="AV175" s="22"/>
      <c r="AW175" s="22"/>
      <c r="AX175" s="22"/>
      <c r="AY175" s="22"/>
      <c r="AZ175" s="22"/>
      <c r="BA175" s="22"/>
      <c r="BB175" s="22"/>
      <c r="BC175" s="22"/>
      <c r="BD175" s="22"/>
      <c r="BE175" s="22"/>
      <c r="BF175" s="22"/>
      <c r="BG175" s="22"/>
      <c r="BH175" s="22"/>
      <c r="BI175" s="22"/>
      <c r="BJ175" s="22"/>
      <c r="BK175" s="22"/>
      <c r="BL175" s="22"/>
      <c r="BM175" s="22"/>
      <c r="BN175" s="22"/>
      <c r="BO175" s="22"/>
      <c r="BP175" s="22"/>
      <c r="BQ175" s="22"/>
      <c r="BR175" s="22"/>
      <c r="BS175" s="22"/>
      <c r="BT175" s="22"/>
    </row>
    <row r="176" spans="1:72" s="23" customFormat="1" ht="39.75" customHeight="1" outlineLevel="1" x14ac:dyDescent="0.25">
      <c r="A176" s="333" t="s">
        <v>294</v>
      </c>
      <c r="B176" s="313"/>
      <c r="C176" s="420" t="s">
        <v>195</v>
      </c>
      <c r="D176" s="313">
        <v>0.04</v>
      </c>
      <c r="E176" s="313" t="s">
        <v>27</v>
      </c>
      <c r="F176" s="319"/>
      <c r="G176" s="123">
        <f>G175</f>
        <v>368</v>
      </c>
      <c r="H176" s="124">
        <f>H177*$G177/$G176</f>
        <v>0</v>
      </c>
      <c r="I176" s="134"/>
      <c r="J176" s="128">
        <f>H176+I176</f>
        <v>0</v>
      </c>
      <c r="K176" s="129">
        <f>G176*H176</f>
        <v>0</v>
      </c>
      <c r="L176" s="130">
        <f>G176*I176</f>
        <v>0</v>
      </c>
      <c r="M176" s="128">
        <f>L176+K176</f>
        <v>0</v>
      </c>
      <c r="N176" s="135"/>
      <c r="O176" s="24"/>
      <c r="P176" s="21"/>
      <c r="Q176" s="22"/>
      <c r="R176" s="22"/>
      <c r="S176" s="22"/>
      <c r="T176" s="22"/>
      <c r="U176" s="22"/>
      <c r="V176" s="22"/>
      <c r="W176" s="22"/>
      <c r="X176" s="22"/>
      <c r="Y176" s="22"/>
      <c r="Z176" s="22"/>
      <c r="AA176" s="22"/>
      <c r="AB176" s="22"/>
      <c r="AC176" s="22"/>
      <c r="AD176" s="22"/>
      <c r="AE176" s="22"/>
      <c r="AF176" s="22"/>
      <c r="AG176" s="22"/>
      <c r="AH176" s="22"/>
      <c r="AI176" s="22"/>
      <c r="AJ176" s="22"/>
      <c r="AK176" s="22"/>
      <c r="AL176" s="22"/>
      <c r="AM176" s="22"/>
      <c r="AN176" s="22"/>
      <c r="AO176" s="22"/>
      <c r="AP176" s="22"/>
      <c r="AQ176" s="22"/>
      <c r="AR176" s="22"/>
      <c r="AS176" s="22"/>
      <c r="AT176" s="22"/>
      <c r="AU176" s="22"/>
      <c r="AV176" s="22"/>
      <c r="AW176" s="22"/>
      <c r="AX176" s="22"/>
      <c r="AY176" s="22"/>
      <c r="AZ176" s="22"/>
      <c r="BA176" s="22"/>
      <c r="BB176" s="22"/>
      <c r="BC176" s="22"/>
      <c r="BD176" s="22"/>
      <c r="BE176" s="22"/>
      <c r="BF176" s="22"/>
      <c r="BG176" s="22"/>
      <c r="BH176" s="22"/>
      <c r="BI176" s="22"/>
      <c r="BJ176" s="22"/>
      <c r="BK176" s="22"/>
      <c r="BL176" s="22"/>
      <c r="BM176" s="22"/>
      <c r="BN176" s="22"/>
      <c r="BO176" s="22"/>
      <c r="BP176" s="22"/>
      <c r="BQ176" s="22"/>
      <c r="BR176" s="22"/>
      <c r="BS176" s="22"/>
      <c r="BT176" s="22"/>
    </row>
    <row r="177" spans="1:72" s="23" customFormat="1" ht="25.5" customHeight="1" outlineLevel="1" x14ac:dyDescent="0.25">
      <c r="A177" s="334" t="s">
        <v>295</v>
      </c>
      <c r="B177" s="321"/>
      <c r="C177" s="316" t="s">
        <v>196</v>
      </c>
      <c r="D177" s="317"/>
      <c r="E177" s="317" t="s">
        <v>33</v>
      </c>
      <c r="F177" s="320">
        <v>9.4299999999999995E-2</v>
      </c>
      <c r="G177" s="125">
        <f>G176*F177</f>
        <v>34.700000000000003</v>
      </c>
      <c r="H177" s="126"/>
      <c r="I177" s="133"/>
      <c r="J177" s="131"/>
      <c r="K177" s="132"/>
      <c r="L177" s="133"/>
      <c r="M177" s="131"/>
      <c r="N177" s="127"/>
      <c r="O177" s="21"/>
      <c r="P177" s="21"/>
      <c r="Q177" s="22"/>
      <c r="R177" s="22"/>
      <c r="S177" s="22"/>
      <c r="T177" s="22"/>
      <c r="U177" s="22"/>
      <c r="V177" s="22"/>
      <c r="W177" s="22"/>
      <c r="X177" s="22"/>
      <c r="Y177" s="22"/>
      <c r="Z177" s="22"/>
      <c r="AA177" s="22"/>
      <c r="AB177" s="22"/>
      <c r="AC177" s="22"/>
      <c r="AD177" s="22"/>
      <c r="AE177" s="22"/>
      <c r="AF177" s="22"/>
      <c r="AG177" s="22"/>
      <c r="AH177" s="22"/>
      <c r="AI177" s="22"/>
      <c r="AJ177" s="22"/>
      <c r="AK177" s="22"/>
      <c r="AL177" s="22"/>
      <c r="AM177" s="22"/>
      <c r="AN177" s="22"/>
      <c r="AO177" s="22"/>
      <c r="AP177" s="22"/>
      <c r="AQ177" s="22"/>
      <c r="AR177" s="22"/>
      <c r="AS177" s="22"/>
      <c r="AT177" s="22"/>
      <c r="AU177" s="22"/>
      <c r="AV177" s="22"/>
      <c r="AW177" s="22"/>
      <c r="AX177" s="22"/>
      <c r="AY177" s="22"/>
      <c r="AZ177" s="22"/>
      <c r="BA177" s="22"/>
      <c r="BB177" s="22"/>
      <c r="BC177" s="22"/>
      <c r="BD177" s="22"/>
      <c r="BE177" s="22"/>
      <c r="BF177" s="22"/>
      <c r="BG177" s="22"/>
      <c r="BH177" s="22"/>
      <c r="BI177" s="22"/>
      <c r="BJ177" s="22"/>
      <c r="BK177" s="22"/>
      <c r="BL177" s="22"/>
      <c r="BM177" s="22"/>
      <c r="BN177" s="22"/>
      <c r="BO177" s="22"/>
      <c r="BP177" s="22"/>
      <c r="BQ177" s="22"/>
      <c r="BR177" s="22"/>
      <c r="BS177" s="22"/>
      <c r="BT177" s="22"/>
    </row>
    <row r="178" spans="1:72" s="23" customFormat="1" ht="59.1" customHeight="1" outlineLevel="1" x14ac:dyDescent="0.25">
      <c r="A178" s="333" t="s">
        <v>296</v>
      </c>
      <c r="B178" s="313"/>
      <c r="C178" s="420" t="s">
        <v>197</v>
      </c>
      <c r="D178" s="313">
        <v>0.04</v>
      </c>
      <c r="E178" s="313" t="s">
        <v>27</v>
      </c>
      <c r="F178" s="319"/>
      <c r="G178" s="123">
        <f>G175</f>
        <v>368</v>
      </c>
      <c r="H178" s="124">
        <f>H179*$G179/$G178</f>
        <v>0</v>
      </c>
      <c r="I178" s="134"/>
      <c r="J178" s="128">
        <f>H178+I178</f>
        <v>0</v>
      </c>
      <c r="K178" s="129">
        <f>G178*H178</f>
        <v>0</v>
      </c>
      <c r="L178" s="130">
        <f>G178*I178</f>
        <v>0</v>
      </c>
      <c r="M178" s="128">
        <f>L178+K178</f>
        <v>0</v>
      </c>
      <c r="N178" s="135"/>
      <c r="O178" s="422"/>
      <c r="P178" s="21"/>
      <c r="Q178" s="22"/>
      <c r="R178" s="22"/>
      <c r="S178" s="22"/>
      <c r="T178" s="22"/>
      <c r="U178" s="22"/>
      <c r="V178" s="22"/>
      <c r="W178" s="22"/>
      <c r="X178" s="22"/>
      <c r="Y178" s="22"/>
      <c r="Z178" s="22"/>
      <c r="AA178" s="22"/>
      <c r="AB178" s="22"/>
      <c r="AC178" s="22"/>
      <c r="AD178" s="22"/>
      <c r="AE178" s="22"/>
      <c r="AF178" s="22"/>
      <c r="AG178" s="22"/>
      <c r="AH178" s="22"/>
      <c r="AI178" s="22"/>
      <c r="AJ178" s="22"/>
      <c r="AK178" s="22"/>
      <c r="AL178" s="22"/>
      <c r="AM178" s="22"/>
      <c r="AN178" s="22"/>
      <c r="AO178" s="22"/>
      <c r="AP178" s="22"/>
      <c r="AQ178" s="22"/>
      <c r="AR178" s="22"/>
      <c r="AS178" s="22"/>
      <c r="AT178" s="22"/>
      <c r="AU178" s="22"/>
      <c r="AV178" s="22"/>
      <c r="AW178" s="22"/>
      <c r="AX178" s="22"/>
      <c r="AY178" s="22"/>
      <c r="AZ178" s="22"/>
      <c r="BA178" s="22"/>
      <c r="BB178" s="22"/>
      <c r="BC178" s="22"/>
      <c r="BD178" s="22"/>
      <c r="BE178" s="22"/>
      <c r="BF178" s="22"/>
      <c r="BG178" s="22"/>
      <c r="BH178" s="22"/>
      <c r="BI178" s="22"/>
      <c r="BJ178" s="22"/>
      <c r="BK178" s="22"/>
      <c r="BL178" s="22"/>
      <c r="BM178" s="22"/>
      <c r="BN178" s="22"/>
      <c r="BO178" s="22"/>
      <c r="BP178" s="22"/>
      <c r="BQ178" s="22"/>
      <c r="BR178" s="22"/>
      <c r="BS178" s="22"/>
      <c r="BT178" s="22"/>
    </row>
    <row r="179" spans="1:72" s="23" customFormat="1" ht="39.75" customHeight="1" outlineLevel="1" x14ac:dyDescent="0.25">
      <c r="A179" s="334" t="s">
        <v>297</v>
      </c>
      <c r="B179" s="321"/>
      <c r="C179" s="316" t="s">
        <v>198</v>
      </c>
      <c r="D179" s="317"/>
      <c r="E179" s="317" t="s">
        <v>33</v>
      </c>
      <c r="F179" s="318">
        <v>9.5000000000000001E-2</v>
      </c>
      <c r="G179" s="125">
        <f>G178*F179</f>
        <v>34.96</v>
      </c>
      <c r="H179" s="126"/>
      <c r="I179" s="133"/>
      <c r="J179" s="131"/>
      <c r="K179" s="132"/>
      <c r="L179" s="133"/>
      <c r="M179" s="131"/>
      <c r="N179" s="127"/>
      <c r="O179" s="21"/>
      <c r="P179" s="21"/>
      <c r="Q179" s="22"/>
      <c r="R179" s="22"/>
      <c r="S179" s="22"/>
      <c r="T179" s="22"/>
      <c r="U179" s="22"/>
      <c r="V179" s="22"/>
      <c r="W179" s="22"/>
      <c r="X179" s="22"/>
      <c r="Y179" s="22"/>
      <c r="Z179" s="22"/>
      <c r="AA179" s="22"/>
      <c r="AB179" s="22"/>
      <c r="AC179" s="22"/>
      <c r="AD179" s="22"/>
      <c r="AE179" s="22"/>
      <c r="AF179" s="22"/>
      <c r="AG179" s="22"/>
      <c r="AH179" s="22"/>
      <c r="AI179" s="22"/>
      <c r="AJ179" s="22"/>
      <c r="AK179" s="22"/>
      <c r="AL179" s="22"/>
      <c r="AM179" s="22"/>
      <c r="AN179" s="22"/>
      <c r="AO179" s="22"/>
      <c r="AP179" s="22"/>
      <c r="AQ179" s="22"/>
      <c r="AR179" s="22"/>
      <c r="AS179" s="22"/>
      <c r="AT179" s="22"/>
      <c r="AU179" s="22"/>
      <c r="AV179" s="22"/>
      <c r="AW179" s="22"/>
      <c r="AX179" s="22"/>
      <c r="AY179" s="22"/>
      <c r="AZ179" s="22"/>
      <c r="BA179" s="22"/>
      <c r="BB179" s="22"/>
      <c r="BC179" s="22"/>
      <c r="BD179" s="22"/>
      <c r="BE179" s="22"/>
      <c r="BF179" s="22"/>
      <c r="BG179" s="22"/>
      <c r="BH179" s="22"/>
      <c r="BI179" s="22"/>
      <c r="BJ179" s="22"/>
      <c r="BK179" s="22"/>
      <c r="BL179" s="22"/>
      <c r="BM179" s="22"/>
      <c r="BN179" s="22"/>
      <c r="BO179" s="22"/>
      <c r="BP179" s="22"/>
      <c r="BQ179" s="22"/>
      <c r="BR179" s="22"/>
      <c r="BS179" s="22"/>
      <c r="BT179" s="22"/>
    </row>
    <row r="180" spans="1:72" s="23" customFormat="1" ht="43.5" customHeight="1" outlineLevel="1" x14ac:dyDescent="0.25">
      <c r="A180" s="333" t="s">
        <v>298</v>
      </c>
      <c r="B180" s="313"/>
      <c r="C180" s="312" t="s">
        <v>164</v>
      </c>
      <c r="D180" s="313">
        <v>0.15</v>
      </c>
      <c r="E180" s="313" t="s">
        <v>25</v>
      </c>
      <c r="F180" s="319"/>
      <c r="G180" s="330">
        <f>G175*D180</f>
        <v>55.2</v>
      </c>
      <c r="H180" s="124">
        <f>H181*$G181/$G180</f>
        <v>0</v>
      </c>
      <c r="I180" s="134"/>
      <c r="J180" s="128">
        <f>H180+I180</f>
        <v>0</v>
      </c>
      <c r="K180" s="129">
        <f>G180*H180</f>
        <v>0</v>
      </c>
      <c r="L180" s="130">
        <f>G180*I180</f>
        <v>0</v>
      </c>
      <c r="M180" s="128">
        <f>L180+K180</f>
        <v>0</v>
      </c>
      <c r="N180" s="332"/>
      <c r="O180" s="25"/>
      <c r="P180" s="21"/>
      <c r="Q180" s="22"/>
      <c r="R180" s="22"/>
      <c r="S180" s="22"/>
      <c r="T180" s="22"/>
      <c r="U180" s="22"/>
      <c r="V180" s="22"/>
      <c r="W180" s="22"/>
      <c r="X180" s="22"/>
      <c r="Y180" s="22"/>
      <c r="Z180" s="22"/>
      <c r="AA180" s="22"/>
      <c r="AB180" s="22"/>
      <c r="AC180" s="22"/>
      <c r="AD180" s="22"/>
      <c r="AE180" s="22"/>
      <c r="AF180" s="22"/>
      <c r="AG180" s="22"/>
      <c r="AH180" s="22"/>
      <c r="AI180" s="22"/>
      <c r="AJ180" s="22"/>
      <c r="AK180" s="22"/>
      <c r="AL180" s="22"/>
      <c r="AM180" s="22"/>
      <c r="AN180" s="22"/>
      <c r="AO180" s="22"/>
      <c r="AP180" s="22"/>
      <c r="AQ180" s="22"/>
      <c r="AR180" s="22"/>
      <c r="AS180" s="22"/>
      <c r="AT180" s="22"/>
      <c r="AU180" s="22"/>
      <c r="AV180" s="22"/>
      <c r="AW180" s="22"/>
      <c r="AX180" s="22"/>
      <c r="AY180" s="22"/>
      <c r="AZ180" s="22"/>
      <c r="BA180" s="22"/>
      <c r="BB180" s="22"/>
      <c r="BC180" s="22"/>
      <c r="BD180" s="22"/>
      <c r="BE180" s="22"/>
      <c r="BF180" s="22"/>
      <c r="BG180" s="22"/>
      <c r="BH180" s="22"/>
      <c r="BI180" s="22"/>
      <c r="BJ180" s="22"/>
      <c r="BK180" s="22"/>
      <c r="BL180" s="22"/>
      <c r="BM180" s="22"/>
      <c r="BN180" s="22"/>
      <c r="BO180" s="22"/>
      <c r="BP180" s="22"/>
      <c r="BQ180" s="22"/>
      <c r="BR180" s="22"/>
      <c r="BS180" s="22"/>
      <c r="BT180" s="22"/>
    </row>
    <row r="181" spans="1:72" s="23" customFormat="1" ht="27.95" customHeight="1" outlineLevel="1" x14ac:dyDescent="0.25">
      <c r="A181" s="334" t="s">
        <v>299</v>
      </c>
      <c r="B181" s="321">
        <v>4100006709</v>
      </c>
      <c r="C181" s="316" t="s">
        <v>34</v>
      </c>
      <c r="D181" s="317"/>
      <c r="E181" s="317" t="s">
        <v>25</v>
      </c>
      <c r="F181" s="318">
        <v>1.24</v>
      </c>
      <c r="G181" s="125">
        <f>(G180)*F181</f>
        <v>68.45</v>
      </c>
      <c r="H181" s="126"/>
      <c r="I181" s="133"/>
      <c r="J181" s="131"/>
      <c r="K181" s="132"/>
      <c r="L181" s="133"/>
      <c r="M181" s="131"/>
      <c r="N181" s="331"/>
      <c r="O181" s="21"/>
      <c r="P181" s="21"/>
      <c r="Q181" s="22"/>
      <c r="R181" s="22"/>
      <c r="S181" s="22"/>
      <c r="T181" s="22"/>
      <c r="U181" s="22"/>
      <c r="V181" s="22"/>
      <c r="W181" s="22"/>
      <c r="X181" s="22"/>
      <c r="Y181" s="22"/>
      <c r="Z181" s="22"/>
      <c r="AA181" s="22"/>
      <c r="AB181" s="22"/>
      <c r="AC181" s="22"/>
      <c r="AD181" s="22"/>
      <c r="AE181" s="22"/>
      <c r="AF181" s="22"/>
      <c r="AG181" s="22"/>
      <c r="AH181" s="22"/>
      <c r="AI181" s="22"/>
      <c r="AJ181" s="22"/>
      <c r="AK181" s="22"/>
      <c r="AL181" s="22"/>
      <c r="AM181" s="22"/>
      <c r="AN181" s="22"/>
      <c r="AO181" s="22"/>
      <c r="AP181" s="22"/>
      <c r="AQ181" s="22"/>
      <c r="AR181" s="22"/>
      <c r="AS181" s="22"/>
      <c r="AT181" s="22"/>
      <c r="AU181" s="22"/>
      <c r="AV181" s="22"/>
      <c r="AW181" s="22"/>
      <c r="AX181" s="22"/>
      <c r="AY181" s="22"/>
      <c r="AZ181" s="22"/>
      <c r="BA181" s="22"/>
      <c r="BB181" s="22"/>
      <c r="BC181" s="22"/>
      <c r="BD181" s="22"/>
      <c r="BE181" s="22"/>
      <c r="BF181" s="22"/>
      <c r="BG181" s="22"/>
      <c r="BH181" s="22"/>
      <c r="BI181" s="22"/>
      <c r="BJ181" s="22"/>
      <c r="BK181" s="22"/>
      <c r="BL181" s="22"/>
      <c r="BM181" s="22"/>
      <c r="BN181" s="22"/>
      <c r="BO181" s="22"/>
      <c r="BP181" s="22"/>
      <c r="BQ181" s="22"/>
      <c r="BR181" s="22"/>
      <c r="BS181" s="22"/>
      <c r="BT181" s="22"/>
    </row>
    <row r="182" spans="1:72" s="23" customFormat="1" ht="39.950000000000003" customHeight="1" outlineLevel="1" x14ac:dyDescent="0.25">
      <c r="A182" s="333" t="s">
        <v>300</v>
      </c>
      <c r="B182" s="313"/>
      <c r="C182" s="312" t="s">
        <v>381</v>
      </c>
      <c r="D182" s="322">
        <v>0.3</v>
      </c>
      <c r="E182" s="313" t="s">
        <v>25</v>
      </c>
      <c r="F182" s="319"/>
      <c r="G182" s="123">
        <f>G175*D182</f>
        <v>110.4</v>
      </c>
      <c r="H182" s="124">
        <f>H183*$G183/$G182</f>
        <v>0</v>
      </c>
      <c r="I182" s="134"/>
      <c r="J182" s="128">
        <f>H182+I182</f>
        <v>0</v>
      </c>
      <c r="K182" s="129">
        <f>G182*H182</f>
        <v>0</v>
      </c>
      <c r="L182" s="130">
        <f>G182*I182</f>
        <v>0</v>
      </c>
      <c r="M182" s="128">
        <f>L182+K182</f>
        <v>0</v>
      </c>
      <c r="N182" s="127"/>
      <c r="O182" s="25"/>
      <c r="P182" s="21"/>
      <c r="Q182" s="22"/>
      <c r="R182" s="22"/>
      <c r="S182" s="22"/>
      <c r="T182" s="22"/>
      <c r="U182" s="22"/>
      <c r="V182" s="22"/>
      <c r="W182" s="22"/>
      <c r="X182" s="22"/>
      <c r="Y182" s="22"/>
      <c r="Z182" s="22"/>
      <c r="AA182" s="22"/>
      <c r="AB182" s="22"/>
      <c r="AC182" s="22"/>
      <c r="AD182" s="22"/>
      <c r="AE182" s="22"/>
      <c r="AF182" s="22"/>
      <c r="AG182" s="22"/>
      <c r="AH182" s="22"/>
      <c r="AI182" s="22"/>
      <c r="AJ182" s="22"/>
      <c r="AK182" s="22"/>
      <c r="AL182" s="22"/>
      <c r="AM182" s="22"/>
      <c r="AN182" s="22"/>
      <c r="AO182" s="22"/>
      <c r="AP182" s="22"/>
      <c r="AQ182" s="22"/>
      <c r="AR182" s="22"/>
      <c r="AS182" s="22"/>
      <c r="AT182" s="22"/>
      <c r="AU182" s="22"/>
      <c r="AV182" s="22"/>
      <c r="AW182" s="22"/>
      <c r="AX182" s="22"/>
      <c r="AY182" s="22"/>
      <c r="AZ182" s="22"/>
      <c r="BA182" s="22"/>
      <c r="BB182" s="22"/>
      <c r="BC182" s="22"/>
      <c r="BD182" s="22"/>
      <c r="BE182" s="22"/>
      <c r="BF182" s="22"/>
      <c r="BG182" s="22"/>
      <c r="BH182" s="22"/>
      <c r="BI182" s="22"/>
      <c r="BJ182" s="22"/>
      <c r="BK182" s="22"/>
      <c r="BL182" s="22"/>
      <c r="BM182" s="22"/>
      <c r="BN182" s="22"/>
      <c r="BO182" s="22"/>
      <c r="BP182" s="22"/>
      <c r="BQ182" s="22"/>
      <c r="BR182" s="22"/>
      <c r="BS182" s="22"/>
      <c r="BT182" s="22"/>
    </row>
    <row r="183" spans="1:72" s="23" customFormat="1" ht="27.95" customHeight="1" outlineLevel="1" x14ac:dyDescent="0.25">
      <c r="A183" s="334" t="s">
        <v>301</v>
      </c>
      <c r="B183" s="321">
        <v>4100004410</v>
      </c>
      <c r="C183" s="316" t="s">
        <v>382</v>
      </c>
      <c r="D183" s="317"/>
      <c r="E183" s="317" t="s">
        <v>25</v>
      </c>
      <c r="F183" s="318">
        <v>1.1000000000000001</v>
      </c>
      <c r="G183" s="125">
        <f>(G182+20)*F183</f>
        <v>143.44</v>
      </c>
      <c r="H183" s="126"/>
      <c r="I183" s="133"/>
      <c r="J183" s="131"/>
      <c r="K183" s="132"/>
      <c r="L183" s="133"/>
      <c r="M183" s="131"/>
      <c r="N183" s="127"/>
      <c r="O183" s="21"/>
      <c r="P183" s="21"/>
      <c r="Q183" s="22"/>
      <c r="R183" s="22"/>
      <c r="S183" s="22"/>
      <c r="T183" s="22"/>
      <c r="U183" s="22"/>
      <c r="V183" s="22"/>
      <c r="W183" s="22"/>
      <c r="X183" s="22"/>
      <c r="Y183" s="22"/>
      <c r="Z183" s="22"/>
      <c r="AA183" s="22"/>
      <c r="AB183" s="22"/>
      <c r="AC183" s="22"/>
      <c r="AD183" s="22"/>
      <c r="AE183" s="22"/>
      <c r="AF183" s="22"/>
      <c r="AG183" s="22"/>
      <c r="AH183" s="22"/>
      <c r="AI183" s="22"/>
      <c r="AJ183" s="22"/>
      <c r="AK183" s="22"/>
      <c r="AL183" s="22"/>
      <c r="AM183" s="22"/>
      <c r="AN183" s="22"/>
      <c r="AO183" s="22"/>
      <c r="AP183" s="22"/>
      <c r="AQ183" s="22"/>
      <c r="AR183" s="22"/>
      <c r="AS183" s="22"/>
      <c r="AT183" s="22"/>
      <c r="AU183" s="22"/>
      <c r="AV183" s="22"/>
      <c r="AW183" s="22"/>
      <c r="AX183" s="22"/>
      <c r="AY183" s="22"/>
      <c r="AZ183" s="22"/>
      <c r="BA183" s="22"/>
      <c r="BB183" s="22"/>
      <c r="BC183" s="22"/>
      <c r="BD183" s="22"/>
      <c r="BE183" s="22"/>
      <c r="BF183" s="22"/>
      <c r="BG183" s="22"/>
      <c r="BH183" s="22"/>
      <c r="BI183" s="22"/>
      <c r="BJ183" s="22"/>
      <c r="BK183" s="22"/>
      <c r="BL183" s="22"/>
      <c r="BM183" s="22"/>
      <c r="BN183" s="22"/>
      <c r="BO183" s="22"/>
      <c r="BP183" s="22"/>
      <c r="BQ183" s="22"/>
      <c r="BR183" s="22"/>
      <c r="BS183" s="22"/>
      <c r="BT183" s="22"/>
    </row>
    <row r="184" spans="1:72" s="23" customFormat="1" ht="27" customHeight="1" x14ac:dyDescent="0.25">
      <c r="A184" s="368" t="s">
        <v>227</v>
      </c>
      <c r="B184" s="292"/>
      <c r="C184" s="258" t="s">
        <v>40</v>
      </c>
      <c r="D184" s="293"/>
      <c r="E184" s="293"/>
      <c r="F184" s="293"/>
      <c r="G184" s="294"/>
      <c r="H184" s="295"/>
      <c r="I184" s="296"/>
      <c r="J184" s="297"/>
      <c r="K184" s="263">
        <f>SUM(K185:K192)</f>
        <v>0</v>
      </c>
      <c r="L184" s="264">
        <f>SUM(L185:L192)</f>
        <v>0</v>
      </c>
      <c r="M184" s="265">
        <f>L184+K184</f>
        <v>0</v>
      </c>
      <c r="N184" s="59"/>
      <c r="O184" s="21"/>
      <c r="P184" s="21"/>
      <c r="Q184" s="22"/>
      <c r="R184" s="22"/>
      <c r="S184" s="22"/>
      <c r="T184" s="22"/>
      <c r="U184" s="22"/>
      <c r="V184" s="22"/>
      <c r="W184" s="22"/>
      <c r="X184" s="22"/>
      <c r="Y184" s="22"/>
      <c r="Z184" s="22"/>
      <c r="AA184" s="22"/>
      <c r="AB184" s="22"/>
      <c r="AC184" s="22"/>
      <c r="AD184" s="22"/>
      <c r="AE184" s="22"/>
      <c r="AF184" s="22"/>
      <c r="AG184" s="22"/>
      <c r="AH184" s="22"/>
      <c r="AI184" s="22"/>
      <c r="AJ184" s="22"/>
      <c r="AK184" s="22"/>
      <c r="AL184" s="22"/>
      <c r="AM184" s="22"/>
      <c r="AN184" s="22"/>
      <c r="AO184" s="22"/>
      <c r="AP184" s="22"/>
      <c r="AQ184" s="22"/>
      <c r="AR184" s="22"/>
      <c r="AS184" s="22"/>
      <c r="AT184" s="22"/>
      <c r="AU184" s="22"/>
      <c r="AV184" s="22"/>
      <c r="AW184" s="22"/>
      <c r="AX184" s="22"/>
      <c r="AY184" s="22"/>
      <c r="AZ184" s="22"/>
      <c r="BA184" s="22"/>
      <c r="BB184" s="22"/>
      <c r="BC184" s="22"/>
      <c r="BD184" s="22"/>
      <c r="BE184" s="22"/>
      <c r="BF184" s="22"/>
      <c r="BG184" s="22"/>
      <c r="BH184" s="22"/>
      <c r="BI184" s="22"/>
      <c r="BJ184" s="22"/>
      <c r="BK184" s="22"/>
      <c r="BL184" s="22"/>
      <c r="BM184" s="22"/>
      <c r="BN184" s="22"/>
      <c r="BO184" s="22"/>
      <c r="BP184" s="22"/>
      <c r="BQ184" s="22"/>
      <c r="BR184" s="22"/>
      <c r="BS184" s="22"/>
      <c r="BT184" s="22"/>
    </row>
    <row r="185" spans="1:72" s="229" customFormat="1" ht="28.5" customHeight="1" outlineLevel="1" x14ac:dyDescent="0.2">
      <c r="A185" s="479" t="s">
        <v>309</v>
      </c>
      <c r="B185" s="335"/>
      <c r="C185" s="336" t="s">
        <v>41</v>
      </c>
      <c r="D185" s="337"/>
      <c r="E185" s="337" t="s">
        <v>166</v>
      </c>
      <c r="F185" s="337"/>
      <c r="G185" s="356">
        <v>96</v>
      </c>
      <c r="H185" s="124">
        <f>H186*$G186/$G185</f>
        <v>0</v>
      </c>
      <c r="I185" s="358"/>
      <c r="J185" s="304">
        <f>H185+I185</f>
        <v>0</v>
      </c>
      <c r="K185" s="305">
        <f>$G185*H185</f>
        <v>0</v>
      </c>
      <c r="L185" s="306">
        <f>$G185*I185</f>
        <v>0</v>
      </c>
      <c r="M185" s="307">
        <f>K185+L185</f>
        <v>0</v>
      </c>
      <c r="N185" s="354"/>
      <c r="O185" s="21"/>
      <c r="P185" s="16"/>
      <c r="Q185" s="226"/>
      <c r="R185" s="226"/>
      <c r="S185" s="226"/>
      <c r="T185" s="226"/>
      <c r="U185" s="226"/>
      <c r="V185" s="226"/>
      <c r="W185" s="226"/>
      <c r="X185" s="226"/>
      <c r="Y185" s="226"/>
      <c r="Z185" s="226"/>
      <c r="AA185" s="226"/>
      <c r="AB185" s="226"/>
      <c r="AC185" s="226"/>
      <c r="AD185" s="226"/>
      <c r="AE185" s="226"/>
      <c r="AF185" s="226"/>
      <c r="AG185" s="226"/>
      <c r="AH185" s="226"/>
      <c r="AI185" s="226"/>
      <c r="AJ185" s="226"/>
      <c r="AK185" s="226"/>
      <c r="AL185" s="226"/>
      <c r="AM185" s="226"/>
      <c r="AN185" s="226"/>
      <c r="AO185" s="226"/>
      <c r="AP185" s="226"/>
      <c r="AQ185" s="226"/>
      <c r="AR185" s="226"/>
      <c r="AS185" s="226"/>
      <c r="AT185" s="226"/>
      <c r="AU185" s="226"/>
      <c r="AV185" s="226"/>
      <c r="AW185" s="226"/>
      <c r="AX185" s="226"/>
      <c r="AY185" s="226"/>
      <c r="AZ185" s="226"/>
      <c r="BA185" s="226"/>
      <c r="BB185" s="226"/>
      <c r="BC185" s="226"/>
      <c r="BD185" s="226"/>
      <c r="BE185" s="226"/>
      <c r="BF185" s="226"/>
      <c r="BG185" s="226"/>
      <c r="BH185" s="226"/>
      <c r="BI185" s="226"/>
      <c r="BJ185" s="226"/>
      <c r="BK185" s="226"/>
      <c r="BL185" s="226"/>
      <c r="BM185" s="226"/>
      <c r="BN185" s="226"/>
      <c r="BO185" s="226"/>
      <c r="BP185" s="226"/>
      <c r="BQ185" s="226"/>
      <c r="BR185" s="226"/>
      <c r="BS185" s="226"/>
      <c r="BT185" s="226"/>
    </row>
    <row r="186" spans="1:72" s="229" customFormat="1" ht="27.95" customHeight="1" outlineLevel="1" x14ac:dyDescent="0.25">
      <c r="A186" s="360" t="s">
        <v>310</v>
      </c>
      <c r="B186" s="367" t="s">
        <v>42</v>
      </c>
      <c r="C186" s="340" t="s">
        <v>43</v>
      </c>
      <c r="D186" s="341"/>
      <c r="E186" s="342" t="s">
        <v>166</v>
      </c>
      <c r="F186" s="343"/>
      <c r="G186" s="344">
        <f>G185</f>
        <v>96</v>
      </c>
      <c r="H186" s="357"/>
      <c r="I186" s="361"/>
      <c r="J186" s="362"/>
      <c r="K186" s="363"/>
      <c r="L186" s="364"/>
      <c r="M186" s="362"/>
      <c r="N186" s="366"/>
      <c r="O186" s="16"/>
      <c r="P186" s="16"/>
      <c r="Q186" s="226"/>
      <c r="R186" s="226"/>
      <c r="S186" s="226"/>
      <c r="T186" s="226"/>
      <c r="U186" s="226"/>
      <c r="V186" s="226"/>
      <c r="W186" s="226"/>
      <c r="X186" s="226"/>
      <c r="Y186" s="226"/>
      <c r="Z186" s="226"/>
      <c r="AA186" s="226"/>
      <c r="AB186" s="226"/>
      <c r="AC186" s="226"/>
      <c r="AD186" s="226"/>
      <c r="AE186" s="226"/>
      <c r="AF186" s="226"/>
      <c r="AG186" s="226"/>
      <c r="AH186" s="226"/>
      <c r="AI186" s="226"/>
      <c r="AJ186" s="226"/>
      <c r="AK186" s="226"/>
      <c r="AL186" s="226"/>
      <c r="AM186" s="226"/>
      <c r="AN186" s="226"/>
      <c r="AO186" s="226"/>
      <c r="AP186" s="226"/>
      <c r="AQ186" s="226"/>
      <c r="AR186" s="226"/>
      <c r="AS186" s="226"/>
      <c r="AT186" s="226"/>
      <c r="AU186" s="226"/>
      <c r="AV186" s="226"/>
      <c r="AW186" s="226"/>
      <c r="AX186" s="226"/>
      <c r="AY186" s="226"/>
      <c r="AZ186" s="226"/>
      <c r="BA186" s="226"/>
      <c r="BB186" s="226"/>
      <c r="BC186" s="226"/>
      <c r="BD186" s="226"/>
      <c r="BE186" s="226"/>
      <c r="BF186" s="226"/>
      <c r="BG186" s="226"/>
      <c r="BH186" s="226"/>
      <c r="BI186" s="226"/>
      <c r="BJ186" s="226"/>
      <c r="BK186" s="226"/>
      <c r="BL186" s="226"/>
      <c r="BM186" s="226"/>
      <c r="BN186" s="226"/>
      <c r="BO186" s="226"/>
      <c r="BP186" s="226"/>
      <c r="BQ186" s="226"/>
      <c r="BR186" s="226"/>
      <c r="BS186" s="226"/>
      <c r="BT186" s="226"/>
    </row>
    <row r="187" spans="1:72" s="229" customFormat="1" ht="28.5" customHeight="1" outlineLevel="1" x14ac:dyDescent="0.2">
      <c r="A187" s="479" t="s">
        <v>312</v>
      </c>
      <c r="B187" s="335"/>
      <c r="C187" s="336" t="s">
        <v>205</v>
      </c>
      <c r="D187" s="337"/>
      <c r="E187" s="337" t="s">
        <v>166</v>
      </c>
      <c r="F187" s="337"/>
      <c r="G187" s="356">
        <v>81.3</v>
      </c>
      <c r="H187" s="124">
        <f>H188*$G188/$G187</f>
        <v>0</v>
      </c>
      <c r="I187" s="358"/>
      <c r="J187" s="304">
        <f>H187+I187</f>
        <v>0</v>
      </c>
      <c r="K187" s="305">
        <f>$G187*H187</f>
        <v>0</v>
      </c>
      <c r="L187" s="306">
        <f>$G187*I187</f>
        <v>0</v>
      </c>
      <c r="M187" s="307">
        <f>K187+L187</f>
        <v>0</v>
      </c>
      <c r="N187" s="354"/>
      <c r="O187" s="21"/>
      <c r="P187" s="16"/>
      <c r="Q187" s="226"/>
      <c r="R187" s="226"/>
      <c r="S187" s="226"/>
      <c r="T187" s="226"/>
      <c r="U187" s="226"/>
      <c r="V187" s="226"/>
      <c r="W187" s="226"/>
      <c r="X187" s="226"/>
      <c r="Y187" s="226"/>
      <c r="Z187" s="226"/>
      <c r="AA187" s="226"/>
      <c r="AB187" s="226"/>
      <c r="AC187" s="226"/>
      <c r="AD187" s="226"/>
      <c r="AE187" s="226"/>
      <c r="AF187" s="226"/>
      <c r="AG187" s="226"/>
      <c r="AH187" s="226"/>
      <c r="AI187" s="226"/>
      <c r="AJ187" s="226"/>
      <c r="AK187" s="226"/>
      <c r="AL187" s="226"/>
      <c r="AM187" s="226"/>
      <c r="AN187" s="226"/>
      <c r="AO187" s="226"/>
      <c r="AP187" s="226"/>
      <c r="AQ187" s="226"/>
      <c r="AR187" s="226"/>
      <c r="AS187" s="226"/>
      <c r="AT187" s="226"/>
      <c r="AU187" s="226"/>
      <c r="AV187" s="226"/>
      <c r="AW187" s="226"/>
      <c r="AX187" s="226"/>
      <c r="AY187" s="226"/>
      <c r="AZ187" s="226"/>
      <c r="BA187" s="226"/>
      <c r="BB187" s="226"/>
      <c r="BC187" s="226"/>
      <c r="BD187" s="226"/>
      <c r="BE187" s="226"/>
      <c r="BF187" s="226"/>
      <c r="BG187" s="226"/>
      <c r="BH187" s="226"/>
      <c r="BI187" s="226"/>
      <c r="BJ187" s="226"/>
      <c r="BK187" s="226"/>
      <c r="BL187" s="226"/>
      <c r="BM187" s="226"/>
      <c r="BN187" s="226"/>
      <c r="BO187" s="226"/>
      <c r="BP187" s="226"/>
      <c r="BQ187" s="226"/>
      <c r="BR187" s="226"/>
      <c r="BS187" s="226"/>
      <c r="BT187" s="226"/>
    </row>
    <row r="188" spans="1:72" s="229" customFormat="1" ht="27.95" customHeight="1" outlineLevel="1" x14ac:dyDescent="0.25">
      <c r="A188" s="360" t="s">
        <v>313</v>
      </c>
      <c r="B188" s="367" t="s">
        <v>281</v>
      </c>
      <c r="C188" s="340" t="s">
        <v>206</v>
      </c>
      <c r="D188" s="341"/>
      <c r="E188" s="342" t="s">
        <v>166</v>
      </c>
      <c r="F188" s="343"/>
      <c r="G188" s="344">
        <f>G187</f>
        <v>81.3</v>
      </c>
      <c r="H188" s="357"/>
      <c r="I188" s="361"/>
      <c r="J188" s="362"/>
      <c r="K188" s="363"/>
      <c r="L188" s="364"/>
      <c r="M188" s="362"/>
      <c r="N188" s="366"/>
      <c r="O188" s="21"/>
      <c r="P188" s="16"/>
      <c r="Q188" s="226"/>
      <c r="R188" s="226"/>
      <c r="S188" s="226"/>
      <c r="T188" s="226"/>
      <c r="U188" s="226"/>
      <c r="V188" s="226"/>
      <c r="W188" s="226"/>
      <c r="X188" s="226"/>
      <c r="Y188" s="226"/>
      <c r="Z188" s="226"/>
      <c r="AA188" s="226"/>
      <c r="AB188" s="226"/>
      <c r="AC188" s="226"/>
      <c r="AD188" s="226"/>
      <c r="AE188" s="226"/>
      <c r="AF188" s="226"/>
      <c r="AG188" s="226"/>
      <c r="AH188" s="226"/>
      <c r="AI188" s="226"/>
      <c r="AJ188" s="226"/>
      <c r="AK188" s="226"/>
      <c r="AL188" s="226"/>
      <c r="AM188" s="226"/>
      <c r="AN188" s="226"/>
      <c r="AO188" s="226"/>
      <c r="AP188" s="226"/>
      <c r="AQ188" s="226"/>
      <c r="AR188" s="226"/>
      <c r="AS188" s="226"/>
      <c r="AT188" s="226"/>
      <c r="AU188" s="226"/>
      <c r="AV188" s="226"/>
      <c r="AW188" s="226"/>
      <c r="AX188" s="226"/>
      <c r="AY188" s="226"/>
      <c r="AZ188" s="226"/>
      <c r="BA188" s="226"/>
      <c r="BB188" s="226"/>
      <c r="BC188" s="226"/>
      <c r="BD188" s="226"/>
      <c r="BE188" s="226"/>
      <c r="BF188" s="226"/>
      <c r="BG188" s="226"/>
      <c r="BH188" s="226"/>
      <c r="BI188" s="226"/>
      <c r="BJ188" s="226"/>
      <c r="BK188" s="226"/>
      <c r="BL188" s="226"/>
      <c r="BM188" s="226"/>
      <c r="BN188" s="226"/>
      <c r="BO188" s="226"/>
      <c r="BP188" s="226"/>
      <c r="BQ188" s="226"/>
      <c r="BR188" s="226"/>
      <c r="BS188" s="226"/>
      <c r="BT188" s="226"/>
    </row>
    <row r="189" spans="1:72" s="229" customFormat="1" ht="27.95" customHeight="1" outlineLevel="1" x14ac:dyDescent="0.2">
      <c r="A189" s="333" t="s">
        <v>314</v>
      </c>
      <c r="B189" s="228"/>
      <c r="C189" s="336" t="s">
        <v>90</v>
      </c>
      <c r="D189" s="234"/>
      <c r="E189" s="337" t="s">
        <v>166</v>
      </c>
      <c r="F189" s="337"/>
      <c r="G189" s="338">
        <v>715.7</v>
      </c>
      <c r="H189" s="124">
        <f>H190*$G190/$G189</f>
        <v>0</v>
      </c>
      <c r="I189" s="358"/>
      <c r="J189" s="304">
        <f>H189+I189</f>
        <v>0</v>
      </c>
      <c r="K189" s="305">
        <f>$G189*H189</f>
        <v>0</v>
      </c>
      <c r="L189" s="306">
        <f>$G189*I189</f>
        <v>0</v>
      </c>
      <c r="M189" s="307">
        <f>K189+L189</f>
        <v>0</v>
      </c>
      <c r="N189" s="354"/>
      <c r="O189" s="21"/>
      <c r="P189" s="16"/>
      <c r="Q189" s="226"/>
      <c r="R189" s="226"/>
      <c r="S189" s="226"/>
      <c r="T189" s="226"/>
      <c r="U189" s="226"/>
      <c r="V189" s="226"/>
      <c r="W189" s="226"/>
      <c r="X189" s="226"/>
      <c r="Y189" s="226"/>
      <c r="Z189" s="226"/>
      <c r="AA189" s="226"/>
      <c r="AB189" s="226"/>
      <c r="AC189" s="226"/>
      <c r="AD189" s="226"/>
      <c r="AE189" s="226"/>
      <c r="AF189" s="226"/>
      <c r="AG189" s="226"/>
      <c r="AH189" s="226"/>
      <c r="AI189" s="226"/>
      <c r="AJ189" s="226"/>
      <c r="AK189" s="226"/>
      <c r="AL189" s="226"/>
      <c r="AM189" s="226"/>
      <c r="AN189" s="226"/>
      <c r="AO189" s="226"/>
      <c r="AP189" s="226"/>
      <c r="AQ189" s="226"/>
      <c r="AR189" s="226"/>
      <c r="AS189" s="226"/>
      <c r="AT189" s="226"/>
      <c r="AU189" s="226"/>
      <c r="AV189" s="226"/>
      <c r="AW189" s="226"/>
      <c r="AX189" s="226"/>
      <c r="AY189" s="226"/>
      <c r="AZ189" s="226"/>
      <c r="BA189" s="226"/>
      <c r="BB189" s="226"/>
      <c r="BC189" s="226"/>
      <c r="BD189" s="226"/>
      <c r="BE189" s="226"/>
      <c r="BF189" s="226"/>
      <c r="BG189" s="226"/>
      <c r="BH189" s="226"/>
      <c r="BI189" s="226"/>
      <c r="BJ189" s="226"/>
      <c r="BK189" s="226"/>
      <c r="BL189" s="226"/>
      <c r="BM189" s="226"/>
      <c r="BN189" s="226"/>
      <c r="BO189" s="226"/>
      <c r="BP189" s="226"/>
      <c r="BQ189" s="226"/>
      <c r="BR189" s="226"/>
      <c r="BS189" s="226"/>
      <c r="BT189" s="226"/>
    </row>
    <row r="190" spans="1:72" s="229" customFormat="1" ht="27.95" customHeight="1" outlineLevel="1" x14ac:dyDescent="0.25">
      <c r="A190" s="360" t="s">
        <v>315</v>
      </c>
      <c r="B190" s="339">
        <v>4100001915</v>
      </c>
      <c r="C190" s="340" t="s">
        <v>44</v>
      </c>
      <c r="D190" s="414"/>
      <c r="E190" s="342" t="s">
        <v>166</v>
      </c>
      <c r="F190" s="343"/>
      <c r="G190" s="344">
        <f>G189</f>
        <v>715.7</v>
      </c>
      <c r="H190" s="357"/>
      <c r="I190" s="361"/>
      <c r="J190" s="362"/>
      <c r="K190" s="363"/>
      <c r="L190" s="364"/>
      <c r="M190" s="362"/>
      <c r="N190" s="366"/>
      <c r="O190" s="16"/>
      <c r="P190" s="16"/>
      <c r="Q190" s="226"/>
      <c r="R190" s="226"/>
      <c r="S190" s="226"/>
      <c r="T190" s="226"/>
      <c r="U190" s="226"/>
      <c r="V190" s="226"/>
      <c r="W190" s="226"/>
      <c r="X190" s="226"/>
      <c r="Y190" s="226"/>
      <c r="Z190" s="226"/>
      <c r="AA190" s="226"/>
      <c r="AB190" s="226"/>
      <c r="AC190" s="226"/>
      <c r="AD190" s="226"/>
      <c r="AE190" s="226"/>
      <c r="AF190" s="226"/>
      <c r="AG190" s="226"/>
      <c r="AH190" s="226"/>
      <c r="AI190" s="226"/>
      <c r="AJ190" s="226"/>
      <c r="AK190" s="226"/>
      <c r="AL190" s="226"/>
      <c r="AM190" s="226"/>
      <c r="AN190" s="226"/>
      <c r="AO190" s="226"/>
      <c r="AP190" s="226"/>
      <c r="AQ190" s="226"/>
      <c r="AR190" s="226"/>
      <c r="AS190" s="226"/>
      <c r="AT190" s="226"/>
      <c r="AU190" s="226"/>
      <c r="AV190" s="226"/>
      <c r="AW190" s="226"/>
      <c r="AX190" s="226"/>
      <c r="AY190" s="226"/>
      <c r="AZ190" s="226"/>
      <c r="BA190" s="226"/>
      <c r="BB190" s="226"/>
      <c r="BC190" s="226"/>
      <c r="BD190" s="226"/>
      <c r="BE190" s="226"/>
      <c r="BF190" s="226"/>
      <c r="BG190" s="226"/>
      <c r="BH190" s="226"/>
      <c r="BI190" s="226"/>
      <c r="BJ190" s="226"/>
      <c r="BK190" s="226"/>
      <c r="BL190" s="226"/>
      <c r="BM190" s="226"/>
      <c r="BN190" s="226"/>
      <c r="BO190" s="226"/>
      <c r="BP190" s="226"/>
      <c r="BQ190" s="226"/>
      <c r="BR190" s="226"/>
      <c r="BS190" s="226"/>
      <c r="BT190" s="226"/>
    </row>
    <row r="191" spans="1:72" s="229" customFormat="1" ht="37.5" customHeight="1" outlineLevel="1" x14ac:dyDescent="0.2">
      <c r="A191" s="333" t="s">
        <v>316</v>
      </c>
      <c r="B191" s="335"/>
      <c r="C191" s="336" t="s">
        <v>45</v>
      </c>
      <c r="D191" s="337"/>
      <c r="E191" s="337" t="s">
        <v>166</v>
      </c>
      <c r="F191" s="337"/>
      <c r="G191" s="338">
        <v>260.8</v>
      </c>
      <c r="H191" s="124">
        <f>H192*$G192/$G191</f>
        <v>0</v>
      </c>
      <c r="I191" s="358"/>
      <c r="J191" s="304">
        <f>H191+I191</f>
        <v>0</v>
      </c>
      <c r="K191" s="305">
        <f>$G191*H191</f>
        <v>0</v>
      </c>
      <c r="L191" s="306">
        <f>$G191*I191</f>
        <v>0</v>
      </c>
      <c r="M191" s="307">
        <f>K191+L191</f>
        <v>0</v>
      </c>
      <c r="N191" s="354"/>
      <c r="O191" s="21"/>
      <c r="P191" s="16"/>
      <c r="Q191" s="226"/>
      <c r="R191" s="226"/>
      <c r="S191" s="226"/>
      <c r="T191" s="226"/>
      <c r="U191" s="226"/>
      <c r="V191" s="226"/>
      <c r="W191" s="226"/>
      <c r="X191" s="226"/>
      <c r="Y191" s="226"/>
      <c r="Z191" s="226"/>
      <c r="AA191" s="226"/>
      <c r="AB191" s="226"/>
      <c r="AC191" s="226"/>
      <c r="AD191" s="226"/>
      <c r="AE191" s="226"/>
      <c r="AF191" s="226"/>
      <c r="AG191" s="226"/>
      <c r="AH191" s="226"/>
      <c r="AI191" s="226"/>
      <c r="AJ191" s="226"/>
      <c r="AK191" s="226"/>
      <c r="AL191" s="226"/>
      <c r="AM191" s="226"/>
      <c r="AN191" s="226"/>
      <c r="AO191" s="226"/>
      <c r="AP191" s="226"/>
      <c r="AQ191" s="226"/>
      <c r="AR191" s="226"/>
      <c r="AS191" s="226"/>
      <c r="AT191" s="226"/>
      <c r="AU191" s="226"/>
      <c r="AV191" s="226"/>
      <c r="AW191" s="226"/>
      <c r="AX191" s="226"/>
      <c r="AY191" s="226"/>
      <c r="AZ191" s="226"/>
      <c r="BA191" s="226"/>
      <c r="BB191" s="226"/>
      <c r="BC191" s="226"/>
      <c r="BD191" s="226"/>
      <c r="BE191" s="226"/>
      <c r="BF191" s="226"/>
      <c r="BG191" s="226"/>
      <c r="BH191" s="226"/>
      <c r="BI191" s="226"/>
      <c r="BJ191" s="226"/>
      <c r="BK191" s="226"/>
      <c r="BL191" s="226"/>
      <c r="BM191" s="226"/>
      <c r="BN191" s="226"/>
      <c r="BO191" s="226"/>
      <c r="BP191" s="226"/>
      <c r="BQ191" s="226"/>
      <c r="BR191" s="226"/>
      <c r="BS191" s="226"/>
      <c r="BT191" s="226"/>
    </row>
    <row r="192" spans="1:72" s="229" customFormat="1" ht="27.95" customHeight="1" outlineLevel="1" x14ac:dyDescent="0.25">
      <c r="A192" s="360" t="s">
        <v>317</v>
      </c>
      <c r="B192" s="365">
        <v>4100001913</v>
      </c>
      <c r="C192" s="340" t="s">
        <v>46</v>
      </c>
      <c r="D192" s="341"/>
      <c r="E192" s="342" t="s">
        <v>166</v>
      </c>
      <c r="F192" s="343"/>
      <c r="G192" s="344">
        <f>G191</f>
        <v>260.8</v>
      </c>
      <c r="H192" s="357"/>
      <c r="I192" s="361"/>
      <c r="J192" s="362"/>
      <c r="K192" s="363"/>
      <c r="L192" s="364"/>
      <c r="M192" s="362"/>
      <c r="N192" s="366"/>
      <c r="O192" s="16"/>
      <c r="P192" s="16"/>
      <c r="Q192" s="226"/>
      <c r="R192" s="226"/>
      <c r="S192" s="226"/>
      <c r="T192" s="226"/>
      <c r="U192" s="226"/>
      <c r="V192" s="226"/>
      <c r="W192" s="226"/>
      <c r="X192" s="226"/>
      <c r="Y192" s="226"/>
      <c r="Z192" s="226"/>
      <c r="AA192" s="226"/>
      <c r="AB192" s="226"/>
      <c r="AC192" s="226"/>
      <c r="AD192" s="226"/>
      <c r="AE192" s="226"/>
      <c r="AF192" s="226"/>
      <c r="AG192" s="226"/>
      <c r="AH192" s="226"/>
      <c r="AI192" s="226"/>
      <c r="AJ192" s="226"/>
      <c r="AK192" s="226"/>
      <c r="AL192" s="226"/>
      <c r="AM192" s="226"/>
      <c r="AN192" s="226"/>
      <c r="AO192" s="226"/>
      <c r="AP192" s="226"/>
      <c r="AQ192" s="226"/>
      <c r="AR192" s="226"/>
      <c r="AS192" s="226"/>
      <c r="AT192" s="226"/>
      <c r="AU192" s="226"/>
      <c r="AV192" s="226"/>
      <c r="AW192" s="226"/>
      <c r="AX192" s="226"/>
      <c r="AY192" s="226"/>
      <c r="AZ192" s="226"/>
      <c r="BA192" s="226"/>
      <c r="BB192" s="226"/>
      <c r="BC192" s="226"/>
      <c r="BD192" s="226"/>
      <c r="BE192" s="226"/>
      <c r="BF192" s="226"/>
      <c r="BG192" s="226"/>
      <c r="BH192" s="226"/>
      <c r="BI192" s="226"/>
      <c r="BJ192" s="226"/>
      <c r="BK192" s="226"/>
      <c r="BL192" s="226"/>
      <c r="BM192" s="226"/>
      <c r="BN192" s="226"/>
      <c r="BO192" s="226"/>
      <c r="BP192" s="226"/>
      <c r="BQ192" s="226"/>
      <c r="BR192" s="226"/>
      <c r="BS192" s="226"/>
      <c r="BT192" s="226"/>
    </row>
    <row r="193" spans="1:72" s="23" customFormat="1" ht="27" customHeight="1" x14ac:dyDescent="0.25">
      <c r="A193" s="278" t="s">
        <v>228</v>
      </c>
      <c r="B193" s="257"/>
      <c r="C193" s="258" t="s">
        <v>47</v>
      </c>
      <c r="D193" s="259">
        <f>D194</f>
        <v>0.2</v>
      </c>
      <c r="E193" s="259" t="s">
        <v>27</v>
      </c>
      <c r="F193" s="259"/>
      <c r="G193" s="314">
        <v>3260</v>
      </c>
      <c r="H193" s="260"/>
      <c r="I193" s="261"/>
      <c r="J193" s="262"/>
      <c r="K193" s="263">
        <f>SUM(K194)</f>
        <v>0</v>
      </c>
      <c r="L193" s="264">
        <f>SUM(L194)</f>
        <v>0</v>
      </c>
      <c r="M193" s="265">
        <f>L193+K193</f>
        <v>0</v>
      </c>
      <c r="N193" s="59"/>
      <c r="O193" s="21"/>
      <c r="P193" s="21"/>
      <c r="Q193" s="22"/>
      <c r="R193" s="22"/>
      <c r="S193" s="22"/>
      <c r="T193" s="22"/>
      <c r="U193" s="22"/>
      <c r="V193" s="22"/>
      <c r="W193" s="22"/>
      <c r="X193" s="22"/>
      <c r="Y193" s="22"/>
      <c r="Z193" s="22"/>
      <c r="AA193" s="22"/>
      <c r="AB193" s="22"/>
      <c r="AC193" s="22"/>
      <c r="AD193" s="22"/>
      <c r="AE193" s="22"/>
      <c r="AF193" s="22"/>
      <c r="AG193" s="22"/>
      <c r="AH193" s="22"/>
      <c r="AI193" s="22"/>
      <c r="AJ193" s="22"/>
      <c r="AK193" s="22"/>
      <c r="AL193" s="22"/>
      <c r="AM193" s="22"/>
      <c r="AN193" s="22"/>
      <c r="AO193" s="22"/>
      <c r="AP193" s="22"/>
      <c r="AQ193" s="22"/>
      <c r="AR193" s="22"/>
      <c r="AS193" s="22"/>
      <c r="AT193" s="22"/>
      <c r="AU193" s="22"/>
      <c r="AV193" s="22"/>
      <c r="AW193" s="22"/>
      <c r="AX193" s="22"/>
      <c r="AY193" s="22"/>
      <c r="AZ193" s="22"/>
      <c r="BA193" s="22"/>
      <c r="BB193" s="22"/>
      <c r="BC193" s="22"/>
      <c r="BD193" s="22"/>
      <c r="BE193" s="22"/>
      <c r="BF193" s="22"/>
      <c r="BG193" s="22"/>
      <c r="BH193" s="22"/>
      <c r="BI193" s="22"/>
      <c r="BJ193" s="22"/>
      <c r="BK193" s="22"/>
      <c r="BL193" s="22"/>
      <c r="BM193" s="22"/>
      <c r="BN193" s="22"/>
      <c r="BO193" s="22"/>
      <c r="BP193" s="22"/>
      <c r="BQ193" s="22"/>
      <c r="BR193" s="22"/>
      <c r="BS193" s="22"/>
      <c r="BT193" s="22"/>
    </row>
    <row r="194" spans="1:72" s="23" customFormat="1" ht="52.5" customHeight="1" outlineLevel="1" x14ac:dyDescent="0.25">
      <c r="A194" s="333" t="s">
        <v>318</v>
      </c>
      <c r="B194" s="369"/>
      <c r="C194" s="370" t="s">
        <v>48</v>
      </c>
      <c r="D194" s="322">
        <v>0.2</v>
      </c>
      <c r="E194" s="322" t="s">
        <v>27</v>
      </c>
      <c r="F194" s="322"/>
      <c r="G194" s="437">
        <f>G193</f>
        <v>3260</v>
      </c>
      <c r="H194" s="498"/>
      <c r="I194" s="499"/>
      <c r="J194" s="506">
        <f>H194+I194</f>
        <v>0</v>
      </c>
      <c r="K194" s="507">
        <f>$G194*H194</f>
        <v>0</v>
      </c>
      <c r="L194" s="508">
        <f>$G194*I194</f>
        <v>0</v>
      </c>
      <c r="M194" s="509">
        <f>K194+L194</f>
        <v>0</v>
      </c>
      <c r="N194" s="497" t="s">
        <v>377</v>
      </c>
      <c r="O194" s="24"/>
      <c r="P194" s="24"/>
      <c r="Q194" s="22"/>
      <c r="R194" s="22"/>
      <c r="S194" s="22"/>
      <c r="T194" s="22"/>
      <c r="U194" s="22"/>
      <c r="V194" s="22"/>
      <c r="W194" s="22"/>
      <c r="X194" s="22"/>
      <c r="Y194" s="22"/>
      <c r="Z194" s="22"/>
      <c r="AA194" s="22"/>
      <c r="AB194" s="22"/>
      <c r="AC194" s="22"/>
      <c r="AD194" s="22"/>
      <c r="AE194" s="22"/>
      <c r="AF194" s="22"/>
      <c r="AG194" s="22"/>
      <c r="AH194" s="22"/>
      <c r="AI194" s="22"/>
      <c r="AJ194" s="22"/>
      <c r="AK194" s="22"/>
      <c r="AL194" s="22"/>
      <c r="AM194" s="22"/>
      <c r="AN194" s="22"/>
      <c r="AO194" s="22"/>
      <c r="AP194" s="22"/>
      <c r="AQ194" s="22"/>
      <c r="AR194" s="22"/>
      <c r="AS194" s="22"/>
      <c r="AT194" s="22"/>
      <c r="AU194" s="22"/>
      <c r="AV194" s="22"/>
      <c r="AW194" s="22"/>
      <c r="AX194" s="22"/>
      <c r="AY194" s="22"/>
      <c r="AZ194" s="22"/>
      <c r="BA194" s="22"/>
      <c r="BB194" s="22"/>
      <c r="BC194" s="22"/>
      <c r="BD194" s="22"/>
      <c r="BE194" s="22"/>
      <c r="BF194" s="22"/>
      <c r="BG194" s="22"/>
      <c r="BH194" s="22"/>
      <c r="BI194" s="22"/>
      <c r="BJ194" s="22"/>
      <c r="BK194" s="22"/>
      <c r="BL194" s="22"/>
      <c r="BM194" s="22"/>
      <c r="BN194" s="22"/>
      <c r="BO194" s="22"/>
      <c r="BP194" s="22"/>
      <c r="BQ194" s="22"/>
      <c r="BR194" s="22"/>
      <c r="BS194" s="22"/>
      <c r="BT194" s="22"/>
    </row>
    <row r="195" spans="1:72" s="23" customFormat="1" ht="27" customHeight="1" x14ac:dyDescent="0.25">
      <c r="A195" s="278" t="s">
        <v>229</v>
      </c>
      <c r="B195" s="257"/>
      <c r="C195" s="258" t="s">
        <v>49</v>
      </c>
      <c r="D195" s="259"/>
      <c r="E195" s="259"/>
      <c r="F195" s="259"/>
      <c r="G195" s="355"/>
      <c r="H195" s="260"/>
      <c r="I195" s="261"/>
      <c r="J195" s="262"/>
      <c r="K195" s="263">
        <f>SUM(K196:K200)</f>
        <v>0</v>
      </c>
      <c r="L195" s="264">
        <f>SUM(L196:L200)</f>
        <v>0</v>
      </c>
      <c r="M195" s="265">
        <f>L195+K195</f>
        <v>0</v>
      </c>
      <c r="N195" s="315"/>
      <c r="O195" s="21"/>
      <c r="P195" s="21"/>
      <c r="Q195" s="22"/>
      <c r="R195" s="22"/>
      <c r="S195" s="22"/>
      <c r="T195" s="22"/>
      <c r="U195" s="22"/>
      <c r="V195" s="22"/>
      <c r="W195" s="22"/>
      <c r="X195" s="22"/>
      <c r="Y195" s="22"/>
      <c r="Z195" s="22"/>
      <c r="AA195" s="22"/>
      <c r="AB195" s="22"/>
      <c r="AC195" s="22"/>
      <c r="AD195" s="22"/>
      <c r="AE195" s="22"/>
      <c r="AF195" s="22"/>
      <c r="AG195" s="22"/>
      <c r="AH195" s="22"/>
      <c r="AI195" s="22"/>
      <c r="AJ195" s="22"/>
      <c r="AK195" s="22"/>
      <c r="AL195" s="22"/>
      <c r="AM195" s="22"/>
      <c r="AN195" s="22"/>
      <c r="AO195" s="22"/>
      <c r="AP195" s="22"/>
      <c r="AQ195" s="22"/>
      <c r="AR195" s="22"/>
      <c r="AS195" s="22"/>
      <c r="AT195" s="22"/>
      <c r="AU195" s="22"/>
      <c r="AV195" s="22"/>
      <c r="AW195" s="22"/>
      <c r="AX195" s="22"/>
      <c r="AY195" s="22"/>
      <c r="AZ195" s="22"/>
      <c r="BA195" s="22"/>
      <c r="BB195" s="22"/>
      <c r="BC195" s="22"/>
      <c r="BD195" s="22"/>
      <c r="BE195" s="22"/>
      <c r="BF195" s="22"/>
      <c r="BG195" s="22"/>
      <c r="BH195" s="22"/>
      <c r="BI195" s="22"/>
      <c r="BJ195" s="22"/>
      <c r="BK195" s="22"/>
      <c r="BL195" s="22"/>
      <c r="BM195" s="22"/>
      <c r="BN195" s="22"/>
      <c r="BO195" s="22"/>
      <c r="BP195" s="22"/>
      <c r="BQ195" s="22"/>
      <c r="BR195" s="22"/>
      <c r="BS195" s="22"/>
      <c r="BT195" s="22"/>
    </row>
    <row r="196" spans="1:72" s="23" customFormat="1" ht="27.95" customHeight="1" outlineLevel="1" x14ac:dyDescent="0.25">
      <c r="A196" s="333" t="s">
        <v>319</v>
      </c>
      <c r="B196" s="313"/>
      <c r="C196" s="300" t="s">
        <v>37</v>
      </c>
      <c r="D196" s="130"/>
      <c r="E196" s="337" t="s">
        <v>27</v>
      </c>
      <c r="F196" s="337"/>
      <c r="G196" s="356">
        <v>457</v>
      </c>
      <c r="H196" s="124">
        <f>H197*$G197/$G196</f>
        <v>0</v>
      </c>
      <c r="I196" s="358"/>
      <c r="J196" s="304">
        <f>H196+I196</f>
        <v>0</v>
      </c>
      <c r="K196" s="305">
        <f>$G196*H196</f>
        <v>0</v>
      </c>
      <c r="L196" s="306">
        <f>$G196*I196</f>
        <v>0</v>
      </c>
      <c r="M196" s="307">
        <f>K196+L196</f>
        <v>0</v>
      </c>
      <c r="N196" s="354"/>
      <c r="O196" s="21"/>
      <c r="P196" s="21"/>
      <c r="Q196" s="22"/>
      <c r="R196" s="22"/>
      <c r="S196" s="22"/>
      <c r="T196" s="22"/>
      <c r="U196" s="22"/>
      <c r="V196" s="22"/>
      <c r="W196" s="22"/>
      <c r="X196" s="22"/>
      <c r="Y196" s="22"/>
      <c r="Z196" s="22"/>
      <c r="AA196" s="22"/>
      <c r="AB196" s="22"/>
      <c r="AC196" s="22"/>
      <c r="AD196" s="22"/>
      <c r="AE196" s="22"/>
      <c r="AF196" s="22"/>
      <c r="AG196" s="22"/>
      <c r="AH196" s="22"/>
      <c r="AI196" s="22"/>
      <c r="AJ196" s="22"/>
      <c r="AK196" s="22"/>
      <c r="AL196" s="22"/>
      <c r="AM196" s="22"/>
      <c r="AN196" s="22"/>
      <c r="AO196" s="22"/>
      <c r="AP196" s="22"/>
      <c r="AQ196" s="22"/>
      <c r="AR196" s="22"/>
      <c r="AS196" s="22"/>
      <c r="AT196" s="22"/>
      <c r="AU196" s="22"/>
      <c r="AV196" s="22"/>
      <c r="AW196" s="22"/>
      <c r="AX196" s="22"/>
      <c r="AY196" s="22"/>
      <c r="AZ196" s="22"/>
      <c r="BA196" s="22"/>
      <c r="BB196" s="22"/>
      <c r="BC196" s="22"/>
      <c r="BD196" s="22"/>
      <c r="BE196" s="22"/>
      <c r="BF196" s="22"/>
      <c r="BG196" s="22"/>
      <c r="BH196" s="22"/>
      <c r="BI196" s="22"/>
      <c r="BJ196" s="22"/>
      <c r="BK196" s="22"/>
      <c r="BL196" s="22"/>
      <c r="BM196" s="22"/>
      <c r="BN196" s="22"/>
      <c r="BO196" s="22"/>
      <c r="BP196" s="22"/>
      <c r="BQ196" s="22"/>
      <c r="BR196" s="22"/>
      <c r="BS196" s="22"/>
      <c r="BT196" s="22"/>
    </row>
    <row r="197" spans="1:72" s="23" customFormat="1" ht="27.95" customHeight="1" outlineLevel="1" x14ac:dyDescent="0.25">
      <c r="A197" s="360" t="s">
        <v>311</v>
      </c>
      <c r="B197" s="323">
        <v>4100009584</v>
      </c>
      <c r="C197" s="324" t="s">
        <v>38</v>
      </c>
      <c r="D197" s="376"/>
      <c r="E197" s="342" t="s">
        <v>27</v>
      </c>
      <c r="F197" s="342">
        <v>1.1000000000000001</v>
      </c>
      <c r="G197" s="344">
        <f>G196*F197</f>
        <v>502.7</v>
      </c>
      <c r="H197" s="357"/>
      <c r="I197" s="361"/>
      <c r="J197" s="362"/>
      <c r="K197" s="363"/>
      <c r="L197" s="364"/>
      <c r="M197" s="362"/>
      <c r="N197" s="377"/>
      <c r="O197" s="21"/>
      <c r="P197" s="21"/>
      <c r="Q197" s="22"/>
      <c r="R197" s="22"/>
      <c r="S197" s="22"/>
      <c r="T197" s="22"/>
      <c r="U197" s="22"/>
      <c r="V197" s="22"/>
      <c r="W197" s="22"/>
      <c r="X197" s="22"/>
      <c r="Y197" s="22"/>
      <c r="Z197" s="22"/>
      <c r="AA197" s="22"/>
      <c r="AB197" s="22"/>
      <c r="AC197" s="22"/>
      <c r="AD197" s="22"/>
      <c r="AE197" s="22"/>
      <c r="AF197" s="22"/>
      <c r="AG197" s="22"/>
      <c r="AH197" s="22"/>
      <c r="AI197" s="22"/>
      <c r="AJ197" s="22"/>
      <c r="AK197" s="22"/>
      <c r="AL197" s="22"/>
      <c r="AM197" s="22"/>
      <c r="AN197" s="22"/>
      <c r="AO197" s="22"/>
      <c r="AP197" s="22"/>
      <c r="AQ197" s="22"/>
      <c r="AR197" s="22"/>
      <c r="AS197" s="22"/>
      <c r="AT197" s="22"/>
      <c r="AU197" s="22"/>
      <c r="AV197" s="22"/>
      <c r="AW197" s="22"/>
      <c r="AX197" s="22"/>
      <c r="AY197" s="22"/>
      <c r="AZ197" s="22"/>
      <c r="BA197" s="22"/>
      <c r="BB197" s="22"/>
      <c r="BC197" s="22"/>
      <c r="BD197" s="22"/>
      <c r="BE197" s="22"/>
      <c r="BF197" s="22"/>
      <c r="BG197" s="22"/>
      <c r="BH197" s="22"/>
      <c r="BI197" s="22"/>
      <c r="BJ197" s="22"/>
      <c r="BK197" s="22"/>
      <c r="BL197" s="22"/>
      <c r="BM197" s="22"/>
      <c r="BN197" s="22"/>
      <c r="BO197" s="22"/>
      <c r="BP197" s="22"/>
      <c r="BQ197" s="22"/>
      <c r="BR197" s="22"/>
      <c r="BS197" s="22"/>
      <c r="BT197" s="22"/>
    </row>
    <row r="198" spans="1:72" s="23" customFormat="1" ht="39.950000000000003" customHeight="1" outlineLevel="1" x14ac:dyDescent="0.25">
      <c r="A198" s="333" t="s">
        <v>320</v>
      </c>
      <c r="B198" s="335"/>
      <c r="C198" s="336" t="s">
        <v>170</v>
      </c>
      <c r="D198" s="337"/>
      <c r="E198" s="337" t="s">
        <v>166</v>
      </c>
      <c r="F198" s="337"/>
      <c r="G198" s="356">
        <v>241</v>
      </c>
      <c r="H198" s="357"/>
      <c r="I198" s="358"/>
      <c r="J198" s="304">
        <f>H198+I198</f>
        <v>0</v>
      </c>
      <c r="K198" s="305">
        <f>$G198*H198</f>
        <v>0</v>
      </c>
      <c r="L198" s="306">
        <f>$G198*I198</f>
        <v>0</v>
      </c>
      <c r="M198" s="307">
        <f>K198+L198</f>
        <v>0</v>
      </c>
      <c r="N198" s="375" t="s">
        <v>378</v>
      </c>
      <c r="O198" s="422"/>
      <c r="P198" s="21"/>
      <c r="Q198" s="22"/>
      <c r="R198" s="22"/>
      <c r="S198" s="22"/>
      <c r="T198" s="22"/>
      <c r="U198" s="22"/>
      <c r="V198" s="22"/>
      <c r="W198" s="22"/>
      <c r="X198" s="22"/>
      <c r="Y198" s="22"/>
      <c r="Z198" s="22"/>
      <c r="AA198" s="22"/>
      <c r="AB198" s="22"/>
      <c r="AC198" s="22"/>
      <c r="AD198" s="22"/>
      <c r="AE198" s="22"/>
      <c r="AF198" s="22"/>
      <c r="AG198" s="22"/>
      <c r="AH198" s="22"/>
      <c r="AI198" s="22"/>
      <c r="AJ198" s="22"/>
      <c r="AK198" s="22"/>
      <c r="AL198" s="22"/>
      <c r="AM198" s="22"/>
      <c r="AN198" s="22"/>
      <c r="AO198" s="22"/>
      <c r="AP198" s="22"/>
      <c r="AQ198" s="22"/>
      <c r="AR198" s="22"/>
      <c r="AS198" s="22"/>
      <c r="AT198" s="22"/>
      <c r="AU198" s="22"/>
      <c r="AV198" s="22"/>
      <c r="AW198" s="22"/>
      <c r="AX198" s="22"/>
      <c r="AY198" s="22"/>
      <c r="AZ198" s="22"/>
      <c r="BA198" s="22"/>
      <c r="BB198" s="22"/>
      <c r="BC198" s="22"/>
      <c r="BD198" s="22"/>
      <c r="BE198" s="22"/>
      <c r="BF198" s="22"/>
      <c r="BG198" s="22"/>
      <c r="BH198" s="22"/>
      <c r="BI198" s="22"/>
      <c r="BJ198" s="22"/>
      <c r="BK198" s="22"/>
      <c r="BL198" s="22"/>
      <c r="BM198" s="22"/>
      <c r="BN198" s="22"/>
      <c r="BO198" s="22"/>
      <c r="BP198" s="22"/>
      <c r="BQ198" s="22"/>
      <c r="BR198" s="22"/>
      <c r="BS198" s="22"/>
      <c r="BT198" s="22"/>
    </row>
    <row r="199" spans="1:72" s="23" customFormat="1" ht="34.5" customHeight="1" outlineLevel="1" x14ac:dyDescent="0.25">
      <c r="A199" s="479" t="s">
        <v>321</v>
      </c>
      <c r="B199" s="378"/>
      <c r="C199" s="312" t="s">
        <v>288</v>
      </c>
      <c r="D199" s="379"/>
      <c r="E199" s="380" t="s">
        <v>25</v>
      </c>
      <c r="F199" s="380"/>
      <c r="G199" s="356">
        <f>44.4+8.7</f>
        <v>53.1</v>
      </c>
      <c r="H199" s="124">
        <f>H200*$G200/$G199</f>
        <v>0</v>
      </c>
      <c r="I199" s="358"/>
      <c r="J199" s="304">
        <f>H199+I199</f>
        <v>0</v>
      </c>
      <c r="K199" s="305">
        <f>$G199*H199</f>
        <v>0</v>
      </c>
      <c r="L199" s="306">
        <f>$G199*I199</f>
        <v>0</v>
      </c>
      <c r="M199" s="307">
        <f>K199+L199</f>
        <v>0</v>
      </c>
      <c r="N199" s="484"/>
      <c r="O199" s="21"/>
      <c r="P199" s="21"/>
      <c r="Q199" s="22"/>
      <c r="R199" s="22"/>
      <c r="S199" s="22"/>
      <c r="T199" s="22"/>
      <c r="U199" s="22"/>
      <c r="V199" s="22"/>
      <c r="W199" s="22"/>
      <c r="X199" s="22"/>
      <c r="Y199" s="22"/>
      <c r="Z199" s="22"/>
      <c r="AA199" s="22"/>
      <c r="AB199" s="22"/>
      <c r="AC199" s="22"/>
      <c r="AD199" s="22"/>
      <c r="AE199" s="22"/>
      <c r="AF199" s="22"/>
      <c r="AG199" s="22"/>
      <c r="AH199" s="22"/>
      <c r="AI199" s="22"/>
      <c r="AJ199" s="22"/>
      <c r="AK199" s="22"/>
      <c r="AL199" s="22"/>
      <c r="AM199" s="22"/>
      <c r="AN199" s="22"/>
      <c r="AO199" s="22"/>
      <c r="AP199" s="22"/>
      <c r="AQ199" s="22"/>
      <c r="AR199" s="22"/>
      <c r="AS199" s="22"/>
      <c r="AT199" s="22"/>
      <c r="AU199" s="22"/>
      <c r="AV199" s="22"/>
      <c r="AW199" s="22"/>
      <c r="AX199" s="22"/>
      <c r="AY199" s="22"/>
      <c r="AZ199" s="22"/>
      <c r="BA199" s="22"/>
      <c r="BB199" s="22"/>
      <c r="BC199" s="22"/>
      <c r="BD199" s="22"/>
      <c r="BE199" s="22"/>
      <c r="BF199" s="22"/>
      <c r="BG199" s="22"/>
      <c r="BH199" s="22"/>
      <c r="BI199" s="22"/>
      <c r="BJ199" s="22"/>
      <c r="BK199" s="22"/>
      <c r="BL199" s="22"/>
      <c r="BM199" s="22"/>
      <c r="BN199" s="22"/>
      <c r="BO199" s="22"/>
      <c r="BP199" s="22"/>
      <c r="BQ199" s="22"/>
      <c r="BR199" s="22"/>
      <c r="BS199" s="22"/>
      <c r="BT199" s="22"/>
    </row>
    <row r="200" spans="1:72" s="23" customFormat="1" ht="27.95" customHeight="1" outlineLevel="1" x14ac:dyDescent="0.25">
      <c r="A200" s="485" t="s">
        <v>322</v>
      </c>
      <c r="B200" s="321">
        <v>4100008426</v>
      </c>
      <c r="C200" s="316" t="s">
        <v>289</v>
      </c>
      <c r="D200" s="381"/>
      <c r="E200" s="382" t="s">
        <v>25</v>
      </c>
      <c r="F200" s="382">
        <v>1.24</v>
      </c>
      <c r="G200" s="344">
        <f>G199*F200</f>
        <v>65.84</v>
      </c>
      <c r="H200" s="383"/>
      <c r="I200" s="384"/>
      <c r="J200" s="385"/>
      <c r="K200" s="386"/>
      <c r="L200" s="387"/>
      <c r="M200" s="385"/>
      <c r="N200" s="486"/>
      <c r="O200" s="21"/>
      <c r="P200" s="21"/>
      <c r="Q200" s="22"/>
      <c r="R200" s="22"/>
      <c r="S200" s="22"/>
      <c r="T200" s="22"/>
      <c r="U200" s="22"/>
      <c r="V200" s="22"/>
      <c r="W200" s="22"/>
      <c r="X200" s="22"/>
      <c r="Y200" s="22"/>
      <c r="Z200" s="22"/>
      <c r="AA200" s="22"/>
      <c r="AB200" s="22"/>
      <c r="AC200" s="22"/>
      <c r="AD200" s="22"/>
      <c r="AE200" s="22"/>
      <c r="AF200" s="22"/>
      <c r="AG200" s="22"/>
      <c r="AH200" s="22"/>
      <c r="AI200" s="22"/>
      <c r="AJ200" s="22"/>
      <c r="AK200" s="22"/>
      <c r="AL200" s="22"/>
      <c r="AM200" s="22"/>
      <c r="AN200" s="22"/>
      <c r="AO200" s="22"/>
      <c r="AP200" s="22"/>
      <c r="AQ200" s="22"/>
      <c r="AR200" s="22"/>
      <c r="AS200" s="22"/>
      <c r="AT200" s="22"/>
      <c r="AU200" s="22"/>
      <c r="AV200" s="22"/>
      <c r="AW200" s="22"/>
      <c r="AX200" s="22"/>
      <c r="AY200" s="22"/>
      <c r="AZ200" s="22"/>
      <c r="BA200" s="22"/>
      <c r="BB200" s="22"/>
      <c r="BC200" s="22"/>
      <c r="BD200" s="22"/>
      <c r="BE200" s="22"/>
      <c r="BF200" s="22"/>
      <c r="BG200" s="22"/>
      <c r="BH200" s="22"/>
      <c r="BI200" s="22"/>
      <c r="BJ200" s="22"/>
      <c r="BK200" s="22"/>
      <c r="BL200" s="22"/>
      <c r="BM200" s="22"/>
      <c r="BN200" s="22"/>
      <c r="BO200" s="22"/>
      <c r="BP200" s="22"/>
      <c r="BQ200" s="22"/>
      <c r="BR200" s="22"/>
      <c r="BS200" s="22"/>
      <c r="BT200" s="22"/>
    </row>
    <row r="201" spans="1:72" s="23" customFormat="1" ht="27" customHeight="1" x14ac:dyDescent="0.25">
      <c r="A201" s="278" t="s">
        <v>230</v>
      </c>
      <c r="B201" s="257"/>
      <c r="C201" s="258" t="s">
        <v>50</v>
      </c>
      <c r="D201" s="259"/>
      <c r="E201" s="259"/>
      <c r="F201" s="259"/>
      <c r="G201" s="355"/>
      <c r="H201" s="260"/>
      <c r="I201" s="261"/>
      <c r="J201" s="262"/>
      <c r="K201" s="263">
        <f>SUM(K202:K202)</f>
        <v>0</v>
      </c>
      <c r="L201" s="264">
        <f>SUM(L202:L202)</f>
        <v>0</v>
      </c>
      <c r="M201" s="265">
        <f>L201+K201</f>
        <v>0</v>
      </c>
      <c r="N201" s="315"/>
      <c r="O201" s="21"/>
      <c r="P201" s="21"/>
      <c r="Q201" s="22"/>
      <c r="R201" s="22"/>
      <c r="S201" s="22"/>
      <c r="T201" s="22"/>
      <c r="U201" s="22"/>
      <c r="V201" s="22"/>
      <c r="W201" s="22"/>
      <c r="X201" s="22"/>
      <c r="Y201" s="22"/>
      <c r="Z201" s="22"/>
      <c r="AA201" s="22"/>
      <c r="AB201" s="22"/>
      <c r="AC201" s="22"/>
      <c r="AD201" s="22"/>
      <c r="AE201" s="22"/>
      <c r="AF201" s="22"/>
      <c r="AG201" s="22"/>
      <c r="AH201" s="22"/>
      <c r="AI201" s="22"/>
      <c r="AJ201" s="22"/>
      <c r="AK201" s="22"/>
      <c r="AL201" s="22"/>
      <c r="AM201" s="22"/>
      <c r="AN201" s="22"/>
      <c r="AO201" s="22"/>
      <c r="AP201" s="22"/>
      <c r="AQ201" s="22"/>
      <c r="AR201" s="22"/>
      <c r="AS201" s="22"/>
      <c r="AT201" s="22"/>
      <c r="AU201" s="22"/>
      <c r="AV201" s="22"/>
      <c r="AW201" s="22"/>
      <c r="AX201" s="22"/>
      <c r="AY201" s="22"/>
      <c r="AZ201" s="22"/>
      <c r="BA201" s="22"/>
      <c r="BB201" s="22"/>
      <c r="BC201" s="22"/>
      <c r="BD201" s="22"/>
      <c r="BE201" s="22"/>
      <c r="BF201" s="22"/>
      <c r="BG201" s="22"/>
      <c r="BH201" s="22"/>
      <c r="BI201" s="22"/>
      <c r="BJ201" s="22"/>
      <c r="BK201" s="22"/>
      <c r="BL201" s="22"/>
      <c r="BM201" s="22"/>
      <c r="BN201" s="22"/>
      <c r="BO201" s="22"/>
      <c r="BP201" s="22"/>
      <c r="BQ201" s="22"/>
      <c r="BR201" s="22"/>
      <c r="BS201" s="22"/>
      <c r="BT201" s="22"/>
    </row>
    <row r="202" spans="1:72" s="229" customFormat="1" ht="39.950000000000003" customHeight="1" outlineLevel="1" x14ac:dyDescent="0.2">
      <c r="A202" s="333" t="s">
        <v>323</v>
      </c>
      <c r="B202" s="335"/>
      <c r="C202" s="336" t="s">
        <v>168</v>
      </c>
      <c r="D202" s="337"/>
      <c r="E202" s="337" t="s">
        <v>27</v>
      </c>
      <c r="F202" s="337"/>
      <c r="G202" s="478">
        <f>0.3*0.3*466</f>
        <v>42</v>
      </c>
      <c r="H202" s="357"/>
      <c r="I202" s="358"/>
      <c r="J202" s="304">
        <f>H202+I202</f>
        <v>0</v>
      </c>
      <c r="K202" s="305">
        <f>$G202*H202</f>
        <v>0</v>
      </c>
      <c r="L202" s="306">
        <f>$G202*I202</f>
        <v>0</v>
      </c>
      <c r="M202" s="307">
        <f>K202+L202</f>
        <v>0</v>
      </c>
      <c r="N202" s="354"/>
      <c r="O202" s="16"/>
      <c r="P202" s="16"/>
      <c r="Q202" s="226"/>
      <c r="R202" s="226"/>
      <c r="S202" s="226"/>
      <c r="T202" s="226"/>
      <c r="U202" s="226"/>
      <c r="V202" s="226"/>
      <c r="W202" s="226"/>
      <c r="X202" s="226"/>
      <c r="Y202" s="226"/>
      <c r="Z202" s="226"/>
      <c r="AA202" s="226"/>
      <c r="AB202" s="226"/>
      <c r="AC202" s="226"/>
      <c r="AD202" s="226"/>
      <c r="AE202" s="226"/>
      <c r="AF202" s="226"/>
      <c r="AG202" s="226"/>
      <c r="AH202" s="226"/>
      <c r="AI202" s="226"/>
      <c r="AJ202" s="226"/>
      <c r="AK202" s="226"/>
      <c r="AL202" s="226"/>
      <c r="AM202" s="226"/>
      <c r="AN202" s="226"/>
      <c r="AO202" s="226"/>
      <c r="AP202" s="226"/>
      <c r="AQ202" s="226"/>
      <c r="AR202" s="226"/>
      <c r="AS202" s="226"/>
      <c r="AT202" s="226"/>
      <c r="AU202" s="226"/>
      <c r="AV202" s="226"/>
      <c r="AW202" s="226"/>
      <c r="AX202" s="226"/>
      <c r="AY202" s="226"/>
      <c r="AZ202" s="226"/>
      <c r="BA202" s="226"/>
      <c r="BB202" s="226"/>
      <c r="BC202" s="226"/>
      <c r="BD202" s="226"/>
      <c r="BE202" s="226"/>
      <c r="BF202" s="226"/>
      <c r="BG202" s="226"/>
      <c r="BH202" s="226"/>
      <c r="BI202" s="226"/>
      <c r="BJ202" s="226"/>
      <c r="BK202" s="226"/>
      <c r="BL202" s="226"/>
      <c r="BM202" s="226"/>
      <c r="BN202" s="226"/>
      <c r="BO202" s="226"/>
      <c r="BP202" s="226"/>
      <c r="BQ202" s="226"/>
      <c r="BR202" s="226"/>
      <c r="BS202" s="226"/>
      <c r="BT202" s="226"/>
    </row>
    <row r="203" spans="1:72" s="23" customFormat="1" ht="27" customHeight="1" x14ac:dyDescent="0.25">
      <c r="A203" s="278" t="s">
        <v>231</v>
      </c>
      <c r="B203" s="257"/>
      <c r="C203" s="258" t="s">
        <v>155</v>
      </c>
      <c r="D203" s="259"/>
      <c r="E203" s="259"/>
      <c r="F203" s="259"/>
      <c r="G203" s="355"/>
      <c r="H203" s="260"/>
      <c r="I203" s="261"/>
      <c r="J203" s="262"/>
      <c r="K203" s="263">
        <f>SUM(K204:K204)</f>
        <v>0</v>
      </c>
      <c r="L203" s="264">
        <f>SUM(L204:L204)</f>
        <v>0</v>
      </c>
      <c r="M203" s="265">
        <f>L203+K203</f>
        <v>0</v>
      </c>
      <c r="N203" s="315"/>
      <c r="O203" s="21"/>
      <c r="P203" s="21"/>
      <c r="Q203" s="22"/>
      <c r="R203" s="22"/>
      <c r="S203" s="22"/>
      <c r="T203" s="22"/>
      <c r="U203" s="22"/>
      <c r="V203" s="22"/>
      <c r="W203" s="22"/>
      <c r="X203" s="22"/>
      <c r="Y203" s="22"/>
      <c r="Z203" s="22"/>
      <c r="AA203" s="22"/>
      <c r="AB203" s="22"/>
      <c r="AC203" s="22"/>
      <c r="AD203" s="22"/>
      <c r="AE203" s="22"/>
      <c r="AF203" s="22"/>
      <c r="AG203" s="22"/>
      <c r="AH203" s="22"/>
      <c r="AI203" s="22"/>
      <c r="AJ203" s="22"/>
      <c r="AK203" s="22"/>
      <c r="AL203" s="22"/>
      <c r="AM203" s="22"/>
      <c r="AN203" s="22"/>
      <c r="AO203" s="22"/>
      <c r="AP203" s="22"/>
      <c r="AQ203" s="22"/>
      <c r="AR203" s="22"/>
      <c r="AS203" s="22"/>
      <c r="AT203" s="22"/>
      <c r="AU203" s="22"/>
      <c r="AV203" s="22"/>
      <c r="AW203" s="22"/>
      <c r="AX203" s="22"/>
      <c r="AY203" s="22"/>
      <c r="AZ203" s="22"/>
      <c r="BA203" s="22"/>
      <c r="BB203" s="22"/>
      <c r="BC203" s="22"/>
      <c r="BD203" s="22"/>
      <c r="BE203" s="22"/>
      <c r="BF203" s="22"/>
      <c r="BG203" s="22"/>
      <c r="BH203" s="22"/>
      <c r="BI203" s="22"/>
      <c r="BJ203" s="22"/>
      <c r="BK203" s="22"/>
      <c r="BL203" s="22"/>
      <c r="BM203" s="22"/>
      <c r="BN203" s="22"/>
      <c r="BO203" s="22"/>
      <c r="BP203" s="22"/>
      <c r="BQ203" s="22"/>
      <c r="BR203" s="22"/>
      <c r="BS203" s="22"/>
      <c r="BT203" s="22"/>
    </row>
    <row r="204" spans="1:72" ht="36.75" customHeight="1" outlineLevel="1" thickBot="1" x14ac:dyDescent="0.3">
      <c r="A204" s="359" t="s">
        <v>324</v>
      </c>
      <c r="B204" s="345"/>
      <c r="C204" s="336" t="s">
        <v>167</v>
      </c>
      <c r="D204" s="337"/>
      <c r="E204" s="337" t="s">
        <v>166</v>
      </c>
      <c r="F204" s="346"/>
      <c r="G204" s="347">
        <v>30</v>
      </c>
      <c r="H204" s="348"/>
      <c r="I204" s="349"/>
      <c r="J204" s="350">
        <f>H204+I204</f>
        <v>0</v>
      </c>
      <c r="K204" s="351">
        <f>$G204*H204</f>
        <v>0</v>
      </c>
      <c r="L204" s="352">
        <f>$G204*I204</f>
        <v>0</v>
      </c>
      <c r="M204" s="353">
        <f>K204+L204</f>
        <v>0</v>
      </c>
      <c r="N204" s="354"/>
      <c r="O204" s="136"/>
      <c r="P204" s="136"/>
    </row>
    <row r="205" spans="1:72" s="30" customFormat="1" ht="39.950000000000003" customHeight="1" thickBot="1" x14ac:dyDescent="0.3">
      <c r="A205" s="489"/>
      <c r="B205" s="490" t="s">
        <v>51</v>
      </c>
      <c r="C205" s="490" t="s">
        <v>52</v>
      </c>
      <c r="D205" s="490"/>
      <c r="E205" s="490"/>
      <c r="F205" s="491"/>
      <c r="G205" s="492"/>
      <c r="H205" s="493"/>
      <c r="I205" s="490"/>
      <c r="J205" s="494"/>
      <c r="K205" s="495">
        <f>K140+K17+K15</f>
        <v>0</v>
      </c>
      <c r="L205" s="495">
        <f>L140+L17+L15</f>
        <v>0</v>
      </c>
      <c r="M205" s="496">
        <f>L205+K205</f>
        <v>0</v>
      </c>
      <c r="N205" s="494"/>
      <c r="O205" s="16"/>
      <c r="P205" s="16"/>
      <c r="Q205" s="26"/>
      <c r="R205" s="26"/>
      <c r="S205" s="26"/>
      <c r="T205" s="26"/>
      <c r="U205" s="26"/>
      <c r="V205" s="26"/>
      <c r="W205" s="26"/>
      <c r="X205" s="26"/>
      <c r="Y205" s="26"/>
      <c r="Z205" s="26"/>
      <c r="AA205" s="26"/>
      <c r="AB205" s="26"/>
      <c r="AC205" s="26"/>
      <c r="AD205" s="26"/>
      <c r="AE205" s="26"/>
      <c r="AF205" s="26"/>
      <c r="AG205" s="26"/>
      <c r="AH205" s="26"/>
      <c r="AI205" s="26"/>
      <c r="AJ205" s="26"/>
      <c r="AK205" s="26"/>
      <c r="AL205" s="26"/>
      <c r="AM205" s="26"/>
      <c r="AN205" s="26"/>
      <c r="AO205" s="26"/>
      <c r="AP205" s="26"/>
      <c r="AQ205" s="26"/>
      <c r="AR205" s="26"/>
      <c r="AS205" s="26"/>
      <c r="AT205" s="26"/>
      <c r="AU205" s="26"/>
      <c r="AV205" s="26"/>
      <c r="AW205" s="26"/>
      <c r="AX205" s="26"/>
      <c r="AY205" s="26"/>
      <c r="AZ205" s="26"/>
      <c r="BA205" s="26"/>
      <c r="BB205" s="26"/>
      <c r="BC205" s="26"/>
      <c r="BD205" s="26"/>
      <c r="BE205" s="26"/>
      <c r="BF205" s="26"/>
      <c r="BG205" s="26"/>
      <c r="BH205" s="26"/>
      <c r="BI205" s="26"/>
      <c r="BJ205" s="26"/>
      <c r="BK205" s="26"/>
      <c r="BL205" s="26"/>
      <c r="BM205" s="26"/>
      <c r="BN205" s="26"/>
      <c r="BO205" s="26"/>
      <c r="BP205" s="26"/>
      <c r="BQ205" s="26"/>
      <c r="BR205" s="26"/>
      <c r="BS205" s="26"/>
      <c r="BT205" s="26"/>
    </row>
    <row r="206" spans="1:72" s="15" customFormat="1" ht="9.75" customHeight="1" x14ac:dyDescent="0.3">
      <c r="A206" s="279"/>
      <c r="B206" s="279"/>
      <c r="C206" s="280"/>
      <c r="D206" s="280"/>
      <c r="E206" s="281"/>
      <c r="F206" s="281"/>
      <c r="G206" s="282"/>
      <c r="H206" s="279"/>
      <c r="I206" s="280"/>
      <c r="J206" s="280"/>
      <c r="K206" s="280"/>
      <c r="L206" s="280"/>
      <c r="M206" s="280"/>
      <c r="N206" s="279"/>
      <c r="O206" s="16"/>
      <c r="P206" s="16"/>
    </row>
    <row r="207" spans="1:72" s="15" customFormat="1" ht="12" customHeight="1" x14ac:dyDescent="0.3">
      <c r="A207" s="279"/>
      <c r="B207" s="279"/>
      <c r="C207" s="280"/>
      <c r="D207" s="280"/>
      <c r="E207" s="281"/>
      <c r="F207" s="281"/>
      <c r="G207" s="282"/>
      <c r="H207" s="279"/>
      <c r="I207" s="280"/>
      <c r="J207" s="280"/>
      <c r="K207" s="280"/>
      <c r="L207" s="280"/>
      <c r="M207" s="280"/>
      <c r="N207" s="279"/>
      <c r="O207" s="16"/>
      <c r="P207" s="16"/>
    </row>
    <row r="208" spans="1:72" s="15" customFormat="1" ht="9.75" customHeight="1" x14ac:dyDescent="0.3">
      <c r="A208" s="279"/>
      <c r="B208" s="279"/>
      <c r="C208" s="280"/>
      <c r="D208" s="280"/>
      <c r="E208" s="281"/>
      <c r="F208" s="281"/>
      <c r="G208" s="282"/>
      <c r="H208" s="279"/>
      <c r="I208" s="280"/>
      <c r="J208" s="280"/>
      <c r="K208" s="280"/>
      <c r="L208" s="280"/>
      <c r="M208" s="280"/>
      <c r="N208" s="279"/>
      <c r="O208" s="16"/>
      <c r="P208" s="16"/>
    </row>
    <row r="209" spans="1:72" s="15" customFormat="1" ht="19.5" customHeight="1" x14ac:dyDescent="0.3">
      <c r="A209" s="279"/>
      <c r="B209" s="481" t="s">
        <v>53</v>
      </c>
      <c r="C209" s="280"/>
      <c r="D209" s="280"/>
      <c r="E209" s="281"/>
      <c r="F209" s="281"/>
      <c r="G209" s="282"/>
      <c r="H209" s="279"/>
      <c r="I209" s="280"/>
      <c r="J209" s="280"/>
      <c r="K209" s="280"/>
      <c r="L209" s="280"/>
      <c r="M209" s="280"/>
      <c r="N209" s="279"/>
      <c r="O209" s="16"/>
      <c r="P209" s="16"/>
    </row>
    <row r="210" spans="1:72" s="15" customFormat="1" x14ac:dyDescent="0.3">
      <c r="A210" s="279"/>
      <c r="B210" s="279"/>
      <c r="C210" s="280"/>
      <c r="D210" s="280"/>
      <c r="E210" s="281"/>
      <c r="F210" s="281"/>
      <c r="G210" s="282"/>
      <c r="H210" s="279"/>
      <c r="I210" s="280"/>
      <c r="J210" s="280"/>
      <c r="K210" s="280"/>
      <c r="L210" s="280"/>
      <c r="M210" s="280"/>
      <c r="N210" s="279"/>
      <c r="O210" s="16"/>
      <c r="P210" s="16"/>
    </row>
    <row r="211" spans="1:72" s="15" customFormat="1" x14ac:dyDescent="0.3">
      <c r="A211" s="279"/>
      <c r="B211" s="481" t="s">
        <v>54</v>
      </c>
      <c r="C211" s="280"/>
      <c r="D211" s="280"/>
      <c r="E211" s="281"/>
      <c r="F211" s="281"/>
      <c r="G211" s="282"/>
      <c r="H211" s="279"/>
      <c r="I211" s="280"/>
      <c r="J211" s="280"/>
      <c r="K211" s="280"/>
      <c r="L211" s="280"/>
      <c r="M211" s="280"/>
      <c r="N211" s="279"/>
      <c r="O211" s="16"/>
      <c r="P211" s="16"/>
    </row>
    <row r="212" spans="1:72" s="15" customFormat="1" x14ac:dyDescent="0.3">
      <c r="A212" s="279"/>
      <c r="B212" s="279"/>
      <c r="C212" s="280"/>
      <c r="D212" s="280"/>
      <c r="E212" s="281"/>
      <c r="F212" s="281"/>
      <c r="G212" s="282"/>
      <c r="H212" s="279"/>
      <c r="I212" s="280"/>
      <c r="J212" s="280"/>
      <c r="K212" s="280"/>
      <c r="L212" s="280"/>
      <c r="M212" s="280"/>
      <c r="N212" s="279"/>
      <c r="O212" s="16"/>
      <c r="P212" s="16"/>
    </row>
    <row r="213" spans="1:72" s="26" customFormat="1" ht="21" customHeight="1" x14ac:dyDescent="0.3">
      <c r="A213" s="283"/>
      <c r="B213" s="482" t="s">
        <v>55</v>
      </c>
      <c r="C213" s="280"/>
      <c r="D213" s="280"/>
      <c r="E213" s="285"/>
      <c r="F213" s="285"/>
      <c r="G213" s="286"/>
      <c r="H213" s="287"/>
      <c r="I213" s="288"/>
      <c r="J213" s="285"/>
      <c r="K213" s="285"/>
      <c r="L213" s="285"/>
      <c r="M213" s="285"/>
      <c r="N213" s="289"/>
      <c r="O213" s="16"/>
      <c r="P213" s="16"/>
    </row>
    <row r="214" spans="1:72" s="26" customFormat="1" ht="9.75" customHeight="1" x14ac:dyDescent="0.25">
      <c r="A214" s="283"/>
      <c r="B214" s="283"/>
      <c r="C214" s="284"/>
      <c r="D214" s="284"/>
      <c r="E214" s="285"/>
      <c r="F214" s="285"/>
      <c r="G214" s="286"/>
      <c r="H214" s="287"/>
      <c r="I214" s="288"/>
      <c r="J214" s="285"/>
      <c r="K214" s="285"/>
      <c r="L214" s="285"/>
      <c r="M214" s="285"/>
      <c r="N214" s="289"/>
      <c r="O214" s="16"/>
      <c r="P214" s="16"/>
    </row>
    <row r="215" spans="1:72" s="29" customFormat="1" ht="45" customHeight="1" x14ac:dyDescent="0.25">
      <c r="A215" s="483">
        <v>1</v>
      </c>
      <c r="B215" s="530" t="s">
        <v>285</v>
      </c>
      <c r="C215" s="530"/>
      <c r="D215" s="530"/>
      <c r="E215" s="530"/>
      <c r="F215" s="530"/>
      <c r="G215" s="530"/>
      <c r="H215" s="530"/>
      <c r="I215" s="530"/>
      <c r="J215" s="530"/>
      <c r="K215" s="530"/>
      <c r="L215" s="530"/>
      <c r="M215" s="530"/>
      <c r="N215" s="530"/>
      <c r="O215" s="27"/>
      <c r="P215" s="27"/>
      <c r="Q215" s="28"/>
      <c r="R215" s="28"/>
      <c r="S215" s="28"/>
      <c r="T215" s="28"/>
      <c r="U215" s="28"/>
      <c r="V215" s="28"/>
      <c r="W215" s="28"/>
      <c r="X215" s="28"/>
      <c r="Y215" s="28"/>
      <c r="Z215" s="28"/>
      <c r="AA215" s="28"/>
      <c r="AB215" s="28"/>
      <c r="AC215" s="28"/>
      <c r="AD215" s="28"/>
      <c r="AE215" s="28"/>
      <c r="AF215" s="28"/>
      <c r="AG215" s="28"/>
      <c r="AH215" s="28"/>
      <c r="AI215" s="28"/>
      <c r="AJ215" s="28"/>
      <c r="AK215" s="28"/>
      <c r="AL215" s="28"/>
      <c r="AM215" s="28"/>
      <c r="AN215" s="28"/>
      <c r="AO215" s="28"/>
      <c r="AP215" s="28"/>
      <c r="AQ215" s="28"/>
      <c r="AR215" s="28"/>
      <c r="AS215" s="28"/>
      <c r="AT215" s="28"/>
      <c r="AU215" s="28"/>
      <c r="AV215" s="28"/>
      <c r="AW215" s="28"/>
      <c r="AX215" s="28"/>
      <c r="AY215" s="28"/>
      <c r="AZ215" s="28"/>
      <c r="BA215" s="28"/>
      <c r="BB215" s="28"/>
      <c r="BC215" s="28"/>
      <c r="BD215" s="28"/>
      <c r="BE215" s="28"/>
      <c r="BF215" s="28"/>
      <c r="BG215" s="28"/>
      <c r="BH215" s="28"/>
      <c r="BI215" s="28"/>
      <c r="BJ215" s="28"/>
      <c r="BK215" s="28"/>
      <c r="BL215" s="28"/>
      <c r="BM215" s="28"/>
      <c r="BN215" s="28"/>
      <c r="BO215" s="28"/>
      <c r="BP215" s="28"/>
      <c r="BQ215" s="28"/>
      <c r="BR215" s="28"/>
      <c r="BS215" s="28"/>
      <c r="BT215" s="28"/>
    </row>
    <row r="216" spans="1:72" s="29" customFormat="1" ht="36" customHeight="1" x14ac:dyDescent="0.25">
      <c r="A216" s="483">
        <v>2</v>
      </c>
      <c r="B216" s="533" t="s">
        <v>383</v>
      </c>
      <c r="C216" s="530"/>
      <c r="D216" s="530"/>
      <c r="E216" s="530"/>
      <c r="F216" s="530"/>
      <c r="G216" s="530"/>
      <c r="H216" s="530"/>
      <c r="I216" s="530"/>
      <c r="J216" s="530"/>
      <c r="K216" s="530"/>
      <c r="L216" s="530"/>
      <c r="M216" s="530"/>
      <c r="N216" s="530"/>
      <c r="O216" s="27"/>
      <c r="P216" s="27"/>
      <c r="Q216" s="28"/>
      <c r="R216" s="28"/>
      <c r="S216" s="28"/>
      <c r="T216" s="28"/>
      <c r="U216" s="28"/>
      <c r="V216" s="28"/>
      <c r="W216" s="28"/>
      <c r="X216" s="28"/>
      <c r="Y216" s="28"/>
      <c r="Z216" s="28"/>
      <c r="AA216" s="28"/>
      <c r="AB216" s="28"/>
      <c r="AC216" s="28"/>
      <c r="AD216" s="28"/>
      <c r="AE216" s="28"/>
      <c r="AF216" s="28"/>
      <c r="AG216" s="28"/>
      <c r="AH216" s="28"/>
      <c r="AI216" s="28"/>
      <c r="AJ216" s="28"/>
      <c r="AK216" s="28"/>
      <c r="AL216" s="28"/>
      <c r="AM216" s="28"/>
      <c r="AN216" s="28"/>
      <c r="AO216" s="28"/>
      <c r="AP216" s="28"/>
      <c r="AQ216" s="28"/>
      <c r="AR216" s="28"/>
      <c r="AS216" s="28"/>
      <c r="AT216" s="28"/>
      <c r="AU216" s="28"/>
      <c r="AV216" s="28"/>
      <c r="AW216" s="28"/>
      <c r="AX216" s="28"/>
      <c r="AY216" s="28"/>
      <c r="AZ216" s="28"/>
      <c r="BA216" s="28"/>
      <c r="BB216" s="28"/>
      <c r="BC216" s="28"/>
      <c r="BD216" s="28"/>
      <c r="BE216" s="28"/>
      <c r="BF216" s="28"/>
      <c r="BG216" s="28"/>
      <c r="BH216" s="28"/>
      <c r="BI216" s="28"/>
      <c r="BJ216" s="28"/>
      <c r="BK216" s="28"/>
      <c r="BL216" s="28"/>
      <c r="BM216" s="28"/>
      <c r="BN216" s="28"/>
      <c r="BO216" s="28"/>
      <c r="BP216" s="28"/>
      <c r="BQ216" s="28"/>
      <c r="BR216" s="28"/>
      <c r="BS216" s="28"/>
      <c r="BT216" s="28"/>
    </row>
    <row r="217" spans="1:72" s="26" customFormat="1" ht="45.75" customHeight="1" x14ac:dyDescent="0.25">
      <c r="A217" s="483">
        <v>3</v>
      </c>
      <c r="B217" s="534" t="s">
        <v>56</v>
      </c>
      <c r="C217" s="535"/>
      <c r="D217" s="535"/>
      <c r="E217" s="535"/>
      <c r="F217" s="535"/>
      <c r="G217" s="535"/>
      <c r="H217" s="535"/>
      <c r="I217" s="535"/>
      <c r="J217" s="535"/>
      <c r="K217" s="535"/>
      <c r="L217" s="535"/>
      <c r="M217" s="535"/>
      <c r="N217" s="535"/>
      <c r="O217" s="16"/>
      <c r="P217" s="16"/>
    </row>
    <row r="218" spans="1:72" s="26" customFormat="1" ht="246" customHeight="1" x14ac:dyDescent="0.25">
      <c r="A218" s="483">
        <v>4</v>
      </c>
      <c r="B218" s="532" t="s">
        <v>57</v>
      </c>
      <c r="C218" s="531"/>
      <c r="D218" s="531"/>
      <c r="E218" s="531"/>
      <c r="F218" s="531"/>
      <c r="G218" s="531"/>
      <c r="H218" s="531"/>
      <c r="I218" s="531"/>
      <c r="J218" s="531"/>
      <c r="K218" s="531"/>
      <c r="L218" s="531"/>
      <c r="M218" s="531"/>
      <c r="N218" s="531"/>
      <c r="O218" s="16"/>
      <c r="P218" s="16"/>
    </row>
    <row r="219" spans="1:72" s="26" customFormat="1" ht="45.75" customHeight="1" x14ac:dyDescent="0.25">
      <c r="A219" s="483">
        <v>5</v>
      </c>
      <c r="B219" s="532" t="s">
        <v>58</v>
      </c>
      <c r="C219" s="531"/>
      <c r="D219" s="531"/>
      <c r="E219" s="531"/>
      <c r="F219" s="531"/>
      <c r="G219" s="531"/>
      <c r="H219" s="531"/>
      <c r="I219" s="531"/>
      <c r="J219" s="531"/>
      <c r="K219" s="531"/>
      <c r="L219" s="531"/>
      <c r="M219" s="531"/>
      <c r="N219" s="531"/>
      <c r="O219" s="16"/>
      <c r="P219" s="16"/>
    </row>
    <row r="220" spans="1:72" s="235" customFormat="1" ht="40.5" customHeight="1" x14ac:dyDescent="0.25">
      <c r="A220" s="483">
        <v>6</v>
      </c>
      <c r="B220" s="534" t="s">
        <v>59</v>
      </c>
      <c r="C220" s="534"/>
      <c r="D220" s="534"/>
      <c r="E220" s="534"/>
      <c r="F220" s="534"/>
      <c r="G220" s="534"/>
      <c r="H220" s="534"/>
      <c r="I220" s="534"/>
      <c r="J220" s="534"/>
      <c r="K220" s="534"/>
      <c r="L220" s="534"/>
      <c r="M220" s="534"/>
      <c r="N220" s="534"/>
      <c r="O220" s="16"/>
      <c r="P220" s="16"/>
    </row>
    <row r="221" spans="1:72" s="26" customFormat="1" ht="29.25" customHeight="1" x14ac:dyDescent="0.25">
      <c r="A221" s="483">
        <v>7</v>
      </c>
      <c r="B221" s="532" t="s">
        <v>60</v>
      </c>
      <c r="C221" s="532"/>
      <c r="D221" s="532"/>
      <c r="E221" s="532"/>
      <c r="F221" s="532"/>
      <c r="G221" s="532"/>
      <c r="H221" s="532"/>
      <c r="I221" s="532"/>
      <c r="J221" s="532"/>
      <c r="K221" s="532"/>
      <c r="L221" s="532"/>
      <c r="M221" s="532"/>
      <c r="N221" s="532"/>
      <c r="O221" s="16"/>
      <c r="P221" s="16"/>
    </row>
    <row r="222" spans="1:72" s="237" customFormat="1" ht="27.75" customHeight="1" x14ac:dyDescent="0.25">
      <c r="A222" s="483">
        <v>8</v>
      </c>
      <c r="B222" s="538" t="s">
        <v>61</v>
      </c>
      <c r="C222" s="538"/>
      <c r="D222" s="538"/>
      <c r="E222" s="538"/>
      <c r="F222" s="538"/>
      <c r="G222" s="538"/>
      <c r="H222" s="538"/>
      <c r="I222" s="538"/>
      <c r="J222" s="538"/>
      <c r="K222" s="538"/>
      <c r="L222" s="538"/>
      <c r="M222" s="538"/>
      <c r="N222" s="538"/>
      <c r="O222" s="236"/>
      <c r="P222" s="236"/>
    </row>
    <row r="223" spans="1:72" s="30" customFormat="1" ht="356.25" customHeight="1" x14ac:dyDescent="0.25">
      <c r="A223" s="483">
        <v>9</v>
      </c>
      <c r="B223" s="531" t="s">
        <v>375</v>
      </c>
      <c r="C223" s="531"/>
      <c r="D223" s="531"/>
      <c r="E223" s="531"/>
      <c r="F223" s="531"/>
      <c r="G223" s="531"/>
      <c r="H223" s="531"/>
      <c r="I223" s="531"/>
      <c r="J223" s="531"/>
      <c r="K223" s="531"/>
      <c r="L223" s="531"/>
      <c r="M223" s="531"/>
      <c r="N223" s="531"/>
      <c r="O223" s="16"/>
      <c r="P223" s="16"/>
      <c r="Q223" s="26"/>
      <c r="R223" s="26"/>
      <c r="S223" s="26"/>
      <c r="T223" s="26"/>
      <c r="U223" s="26"/>
      <c r="V223" s="26"/>
      <c r="W223" s="26"/>
      <c r="X223" s="26"/>
      <c r="Y223" s="26"/>
      <c r="Z223" s="26"/>
      <c r="AA223" s="26"/>
      <c r="AB223" s="26"/>
      <c r="AC223" s="26"/>
      <c r="AD223" s="26"/>
      <c r="AE223" s="26"/>
      <c r="AF223" s="26"/>
      <c r="AG223" s="26"/>
      <c r="AH223" s="26"/>
      <c r="AI223" s="26"/>
      <c r="AJ223" s="26"/>
      <c r="AK223" s="26"/>
      <c r="AL223" s="26"/>
      <c r="AM223" s="26"/>
      <c r="AN223" s="26"/>
      <c r="AO223" s="26"/>
      <c r="AP223" s="26"/>
      <c r="AQ223" s="26"/>
      <c r="AR223" s="26"/>
      <c r="AS223" s="26"/>
      <c r="AT223" s="26"/>
      <c r="AU223" s="26"/>
      <c r="AV223" s="26"/>
      <c r="AW223" s="26"/>
      <c r="AX223" s="26"/>
      <c r="AY223" s="26"/>
      <c r="AZ223" s="26"/>
      <c r="BA223" s="26"/>
      <c r="BB223" s="26"/>
      <c r="BC223" s="26"/>
      <c r="BD223" s="26"/>
      <c r="BE223" s="26"/>
      <c r="BF223" s="26"/>
      <c r="BG223" s="26"/>
      <c r="BH223" s="26"/>
      <c r="BI223" s="26"/>
      <c r="BJ223" s="26"/>
      <c r="BK223" s="26"/>
      <c r="BL223" s="26"/>
      <c r="BM223" s="26"/>
      <c r="BN223" s="26"/>
      <c r="BO223" s="26"/>
      <c r="BP223" s="26"/>
      <c r="BQ223" s="26"/>
      <c r="BR223" s="26"/>
      <c r="BS223" s="26"/>
      <c r="BT223" s="26"/>
    </row>
    <row r="224" spans="1:72" s="30" customFormat="1" ht="181.5" customHeight="1" x14ac:dyDescent="0.25">
      <c r="A224" s="483"/>
      <c r="B224" s="539" t="s">
        <v>327</v>
      </c>
      <c r="C224" s="539"/>
      <c r="D224" s="539"/>
      <c r="E224" s="539"/>
      <c r="F224" s="539"/>
      <c r="G224" s="539"/>
      <c r="H224" s="539"/>
      <c r="I224" s="539"/>
      <c r="J224" s="539"/>
      <c r="K224" s="539"/>
      <c r="L224" s="539"/>
      <c r="M224" s="539"/>
      <c r="N224" s="539"/>
      <c r="O224" s="16"/>
      <c r="P224" s="16"/>
      <c r="Q224" s="26"/>
      <c r="R224" s="26"/>
      <c r="S224" s="26"/>
      <c r="T224" s="26"/>
      <c r="U224" s="26"/>
      <c r="V224" s="26"/>
      <c r="W224" s="26"/>
      <c r="X224" s="26"/>
      <c r="Y224" s="26"/>
      <c r="Z224" s="26"/>
      <c r="AA224" s="26"/>
      <c r="AB224" s="26"/>
      <c r="AC224" s="26"/>
      <c r="AD224" s="26"/>
      <c r="AE224" s="26"/>
      <c r="AF224" s="26"/>
      <c r="AG224" s="26"/>
      <c r="AH224" s="26"/>
      <c r="AI224" s="26"/>
      <c r="AJ224" s="26"/>
      <c r="AK224" s="26"/>
      <c r="AL224" s="26"/>
      <c r="AM224" s="26"/>
      <c r="AN224" s="26"/>
      <c r="AO224" s="26"/>
      <c r="AP224" s="26"/>
      <c r="AQ224" s="26"/>
      <c r="AR224" s="26"/>
      <c r="AS224" s="26"/>
      <c r="AT224" s="26"/>
      <c r="AU224" s="26"/>
      <c r="AV224" s="26"/>
      <c r="AW224" s="26"/>
      <c r="AX224" s="26"/>
      <c r="AY224" s="26"/>
      <c r="AZ224" s="26"/>
      <c r="BA224" s="26"/>
      <c r="BB224" s="26"/>
      <c r="BC224" s="26"/>
      <c r="BD224" s="26"/>
      <c r="BE224" s="26"/>
      <c r="BF224" s="26"/>
      <c r="BG224" s="26"/>
      <c r="BH224" s="26"/>
      <c r="BI224" s="26"/>
      <c r="BJ224" s="26"/>
      <c r="BK224" s="26"/>
      <c r="BL224" s="26"/>
      <c r="BM224" s="26"/>
      <c r="BN224" s="26"/>
      <c r="BO224" s="26"/>
      <c r="BP224" s="26"/>
      <c r="BQ224" s="26"/>
      <c r="BR224" s="26"/>
      <c r="BS224" s="26"/>
      <c r="BT224" s="26"/>
    </row>
    <row r="225" spans="1:256" s="30" customFormat="1" ht="181.5" customHeight="1" x14ac:dyDescent="0.25">
      <c r="A225" s="483"/>
      <c r="B225" s="536" t="s">
        <v>368</v>
      </c>
      <c r="C225" s="536"/>
      <c r="D225" s="536"/>
      <c r="E225" s="536"/>
      <c r="F225" s="536"/>
      <c r="G225" s="536"/>
      <c r="H225" s="536"/>
      <c r="I225" s="536"/>
      <c r="J225" s="536"/>
      <c r="K225" s="536"/>
      <c r="L225" s="536"/>
      <c r="M225" s="536"/>
      <c r="N225" s="536"/>
      <c r="O225" s="16"/>
      <c r="P225" s="16"/>
      <c r="Q225" s="26"/>
      <c r="R225" s="26"/>
      <c r="S225" s="26"/>
      <c r="T225" s="26"/>
      <c r="U225" s="26"/>
      <c r="V225" s="26"/>
      <c r="W225" s="26"/>
      <c r="X225" s="26"/>
      <c r="Y225" s="26"/>
      <c r="Z225" s="26"/>
      <c r="AA225" s="26"/>
      <c r="AB225" s="26"/>
      <c r="AC225" s="26"/>
      <c r="AD225" s="26"/>
      <c r="AE225" s="26"/>
      <c r="AF225" s="26"/>
      <c r="AG225" s="26"/>
      <c r="AH225" s="26"/>
      <c r="AI225" s="26"/>
      <c r="AJ225" s="26"/>
      <c r="AK225" s="26"/>
      <c r="AL225" s="26"/>
      <c r="AM225" s="26"/>
      <c r="AN225" s="26"/>
      <c r="AO225" s="26"/>
      <c r="AP225" s="26"/>
      <c r="AQ225" s="26"/>
      <c r="AR225" s="26"/>
      <c r="AS225" s="26"/>
      <c r="AT225" s="26"/>
      <c r="AU225" s="26"/>
      <c r="AV225" s="26"/>
      <c r="AW225" s="26"/>
      <c r="AX225" s="26"/>
      <c r="AY225" s="26"/>
      <c r="AZ225" s="26"/>
      <c r="BA225" s="26"/>
      <c r="BB225" s="26"/>
      <c r="BC225" s="26"/>
      <c r="BD225" s="26"/>
      <c r="BE225" s="26"/>
      <c r="BF225" s="26"/>
      <c r="BG225" s="26"/>
      <c r="BH225" s="26"/>
      <c r="BI225" s="26"/>
      <c r="BJ225" s="26"/>
      <c r="BK225" s="26"/>
      <c r="BL225" s="26"/>
      <c r="BM225" s="26"/>
      <c r="BN225" s="26"/>
      <c r="BO225" s="26"/>
      <c r="BP225" s="26"/>
      <c r="BQ225" s="26"/>
      <c r="BR225" s="26"/>
      <c r="BS225" s="26"/>
      <c r="BT225" s="26"/>
    </row>
    <row r="226" spans="1:256" s="26" customFormat="1" ht="43.5" customHeight="1" x14ac:dyDescent="0.25">
      <c r="A226" s="488">
        <v>10</v>
      </c>
      <c r="B226" s="541" t="s">
        <v>62</v>
      </c>
      <c r="C226" s="541"/>
      <c r="D226" s="541"/>
      <c r="E226" s="541"/>
      <c r="F226" s="541"/>
      <c r="G226" s="541"/>
      <c r="H226" s="541"/>
      <c r="I226" s="541"/>
      <c r="J226" s="541"/>
      <c r="K226" s="541"/>
      <c r="L226" s="541"/>
      <c r="M226" s="541"/>
      <c r="N226" s="541"/>
      <c r="O226" s="16"/>
      <c r="P226" s="16"/>
    </row>
    <row r="227" spans="1:256" s="239" customFormat="1" ht="25.5" customHeight="1" x14ac:dyDescent="0.25">
      <c r="A227" s="488">
        <v>11</v>
      </c>
      <c r="B227" s="542" t="s">
        <v>63</v>
      </c>
      <c r="C227" s="542"/>
      <c r="D227" s="542"/>
      <c r="E227" s="542"/>
      <c r="F227" s="542"/>
      <c r="G227" s="542"/>
      <c r="H227" s="542"/>
      <c r="I227" s="542"/>
      <c r="J227" s="542"/>
      <c r="K227" s="542"/>
      <c r="L227" s="542"/>
      <c r="M227" s="542"/>
      <c r="N227" s="542"/>
      <c r="O227" s="236"/>
      <c r="P227" s="236"/>
      <c r="Q227" s="238"/>
      <c r="R227" s="238"/>
      <c r="S227" s="238"/>
      <c r="T227" s="238"/>
      <c r="U227" s="238"/>
      <c r="V227" s="238"/>
      <c r="W227" s="238"/>
      <c r="X227" s="238"/>
      <c r="Y227" s="238"/>
      <c r="Z227" s="238"/>
      <c r="AA227" s="238"/>
      <c r="AB227" s="238"/>
      <c r="AC227" s="238"/>
      <c r="AD227" s="238"/>
      <c r="AE227" s="238"/>
      <c r="AF227" s="238"/>
      <c r="AG227" s="238"/>
      <c r="AH227" s="238"/>
      <c r="AI227" s="238"/>
      <c r="AJ227" s="238"/>
      <c r="AK227" s="238"/>
      <c r="AL227" s="238"/>
      <c r="AM227" s="238"/>
      <c r="AN227" s="238"/>
      <c r="AO227" s="238"/>
      <c r="AP227" s="238"/>
      <c r="AQ227" s="238"/>
      <c r="AR227" s="238"/>
      <c r="AS227" s="238"/>
      <c r="AT227" s="238"/>
      <c r="AU227" s="238"/>
      <c r="AV227" s="238"/>
      <c r="AW227" s="238"/>
      <c r="AX227" s="238"/>
      <c r="AY227" s="238"/>
      <c r="AZ227" s="238"/>
      <c r="BA227" s="238"/>
      <c r="BB227" s="238"/>
      <c r="BC227" s="238"/>
      <c r="BD227" s="238"/>
      <c r="BE227" s="238"/>
      <c r="BF227" s="238"/>
      <c r="BG227" s="238"/>
      <c r="BH227" s="238"/>
      <c r="BI227" s="238"/>
      <c r="BJ227" s="238"/>
      <c r="BK227" s="238"/>
      <c r="BL227" s="238"/>
      <c r="BM227" s="238"/>
      <c r="BN227" s="238"/>
      <c r="BO227" s="238"/>
      <c r="BP227" s="238"/>
      <c r="BQ227" s="238"/>
      <c r="BR227" s="238"/>
      <c r="BS227" s="238"/>
      <c r="BT227" s="238"/>
    </row>
    <row r="228" spans="1:256" s="238" customFormat="1" ht="25.5" customHeight="1" x14ac:dyDescent="0.25">
      <c r="A228" s="488">
        <v>12</v>
      </c>
      <c r="B228" s="533" t="s">
        <v>64</v>
      </c>
      <c r="C228" s="533"/>
      <c r="D228" s="533"/>
      <c r="E228" s="533"/>
      <c r="F228" s="533"/>
      <c r="G228" s="533"/>
      <c r="H228" s="533"/>
      <c r="I228" s="533"/>
      <c r="J228" s="533"/>
      <c r="K228" s="533"/>
      <c r="L228" s="533"/>
      <c r="M228" s="533"/>
      <c r="N228" s="533"/>
      <c r="O228" s="236"/>
      <c r="P228" s="236"/>
    </row>
    <row r="229" spans="1:256" s="241" customFormat="1" ht="25.5" customHeight="1" x14ac:dyDescent="0.25">
      <c r="A229" s="488">
        <v>13</v>
      </c>
      <c r="B229" s="542" t="s">
        <v>65</v>
      </c>
      <c r="C229" s="542"/>
      <c r="D229" s="542"/>
      <c r="E229" s="542"/>
      <c r="F229" s="542"/>
      <c r="G229" s="542"/>
      <c r="H229" s="542"/>
      <c r="I229" s="542"/>
      <c r="J229" s="542"/>
      <c r="K229" s="542"/>
      <c r="L229" s="542"/>
      <c r="M229" s="542"/>
      <c r="N229" s="487"/>
      <c r="O229" s="16"/>
      <c r="P229" s="16"/>
      <c r="Q229" s="240"/>
      <c r="R229" s="240"/>
      <c r="S229" s="240"/>
      <c r="T229" s="240"/>
      <c r="U229" s="240"/>
      <c r="V229" s="240"/>
      <c r="W229" s="240"/>
      <c r="X229" s="240"/>
      <c r="Y229" s="240"/>
      <c r="Z229" s="240"/>
      <c r="AA229" s="240"/>
      <c r="AB229" s="240"/>
      <c r="AC229" s="240"/>
      <c r="AD229" s="240"/>
      <c r="AE229" s="240"/>
      <c r="AF229" s="240"/>
      <c r="AG229" s="240"/>
      <c r="AH229" s="240"/>
      <c r="AI229" s="240"/>
      <c r="AJ229" s="240"/>
      <c r="AK229" s="240"/>
      <c r="AL229" s="240"/>
      <c r="AM229" s="240"/>
      <c r="AN229" s="240"/>
      <c r="AO229" s="240"/>
      <c r="AP229" s="240"/>
      <c r="AQ229" s="240"/>
      <c r="AR229" s="240"/>
      <c r="AS229" s="240"/>
      <c r="AT229" s="240"/>
      <c r="AU229" s="240"/>
      <c r="AV229" s="240"/>
      <c r="AW229" s="240"/>
      <c r="AX229" s="240"/>
      <c r="AY229" s="240"/>
      <c r="AZ229" s="240"/>
      <c r="BA229" s="240"/>
      <c r="BB229" s="240"/>
      <c r="BC229" s="240"/>
      <c r="BD229" s="240"/>
      <c r="BE229" s="240"/>
      <c r="BF229" s="240"/>
      <c r="BG229" s="240"/>
      <c r="BH229" s="240"/>
      <c r="BI229" s="240"/>
      <c r="BJ229" s="240"/>
      <c r="BK229" s="240"/>
      <c r="BL229" s="240"/>
      <c r="BM229" s="240"/>
      <c r="BN229" s="240"/>
      <c r="BO229" s="240"/>
      <c r="BP229" s="240"/>
      <c r="BQ229" s="240"/>
      <c r="BR229" s="240"/>
      <c r="BS229" s="240"/>
      <c r="BT229" s="240"/>
    </row>
    <row r="230" spans="1:256" s="67" customFormat="1" ht="23.25" customHeight="1" x14ac:dyDescent="0.3">
      <c r="A230" s="62"/>
      <c r="B230" s="15"/>
      <c r="C230" s="63"/>
      <c r="D230" s="63"/>
      <c r="E230" s="34"/>
      <c r="F230" s="34"/>
      <c r="G230" s="64"/>
      <c r="H230" s="65"/>
      <c r="I230" s="66"/>
      <c r="M230" s="64"/>
      <c r="Q230" s="172"/>
      <c r="R230" s="172"/>
    </row>
    <row r="231" spans="1:256" s="162" customFormat="1" ht="45" customHeight="1" x14ac:dyDescent="0.25">
      <c r="A231" s="159"/>
      <c r="B231" s="160"/>
      <c r="C231" s="68"/>
      <c r="D231" s="68"/>
      <c r="E231" s="161"/>
    </row>
    <row r="232" spans="1:256" s="67" customFormat="1" ht="22.5" customHeight="1" x14ac:dyDescent="0.3">
      <c r="A232" s="15"/>
      <c r="B232" s="15"/>
      <c r="C232" s="242"/>
      <c r="D232" s="242"/>
      <c r="E232" s="163"/>
      <c r="F232" s="164"/>
      <c r="G232" s="165"/>
      <c r="K232" s="64"/>
      <c r="M232" s="166"/>
      <c r="P232" s="71"/>
    </row>
    <row r="233" spans="1:256" ht="17.25" customHeight="1" x14ac:dyDescent="0.3">
      <c r="A233" s="167"/>
      <c r="B233" s="167"/>
      <c r="C233" s="68"/>
      <c r="D233" s="242"/>
      <c r="E233" s="163"/>
      <c r="F233" s="68"/>
      <c r="G233" s="68"/>
      <c r="H233" s="68"/>
      <c r="I233" s="168"/>
      <c r="J233" s="168"/>
      <c r="K233" s="168"/>
      <c r="L233" s="169"/>
      <c r="M233" s="136"/>
      <c r="O233" s="34"/>
      <c r="P233" s="32"/>
    </row>
    <row r="234" spans="1:256" ht="39.75" customHeight="1" x14ac:dyDescent="0.3">
      <c r="A234" s="167"/>
      <c r="B234" s="167"/>
      <c r="C234" s="242"/>
      <c r="D234" s="242"/>
      <c r="E234" s="163"/>
      <c r="F234" s="68"/>
      <c r="G234" s="68"/>
      <c r="H234" s="68"/>
      <c r="I234" s="168"/>
      <c r="J234" s="168"/>
      <c r="K234" s="168"/>
      <c r="L234" s="169"/>
      <c r="M234" s="136"/>
      <c r="O234" s="34"/>
      <c r="P234" s="32"/>
    </row>
    <row r="235" spans="1:256" ht="20.25" customHeight="1" x14ac:dyDescent="0.3">
      <c r="A235" s="34"/>
      <c r="B235" s="34"/>
      <c r="C235" s="68"/>
      <c r="D235" s="68"/>
      <c r="E235" s="163"/>
      <c r="G235" s="34"/>
      <c r="H235" s="33"/>
      <c r="I235" s="44"/>
      <c r="J235" s="44"/>
      <c r="L235" s="44"/>
      <c r="M235" s="170"/>
      <c r="O235" s="34"/>
      <c r="P235" s="32"/>
    </row>
    <row r="236" spans="1:256" s="67" customFormat="1" ht="20.25" customHeight="1" x14ac:dyDescent="0.3">
      <c r="A236" s="69"/>
      <c r="B236" s="69"/>
      <c r="C236" s="242"/>
      <c r="D236" s="242"/>
      <c r="E236" s="163"/>
      <c r="F236" s="31"/>
      <c r="G236" s="31"/>
      <c r="H236" s="31"/>
      <c r="I236" s="31"/>
      <c r="J236" s="70"/>
      <c r="K236" s="31"/>
      <c r="L236" s="71"/>
      <c r="M236" s="166"/>
      <c r="P236" s="71"/>
    </row>
    <row r="237" spans="1:256" ht="39.75" customHeight="1" x14ac:dyDescent="0.3">
      <c r="A237" s="62"/>
      <c r="B237" s="15"/>
      <c r="C237" s="537"/>
      <c r="D237" s="537"/>
      <c r="F237" s="34"/>
      <c r="G237" s="64"/>
      <c r="H237" s="65"/>
      <c r="I237" s="66"/>
      <c r="J237" s="67"/>
      <c r="K237" s="67"/>
      <c r="L237" s="67"/>
      <c r="M237" s="64"/>
      <c r="N237" s="67"/>
      <c r="O237" s="67"/>
      <c r="P237" s="171"/>
      <c r="Q237" s="172"/>
      <c r="R237" s="172"/>
      <c r="S237" s="67"/>
      <c r="T237" s="67"/>
      <c r="U237" s="67"/>
      <c r="V237" s="67"/>
      <c r="W237" s="67"/>
      <c r="X237" s="67"/>
      <c r="Y237" s="67"/>
      <c r="Z237" s="67"/>
      <c r="AA237" s="67"/>
      <c r="AB237" s="67"/>
      <c r="AC237" s="67"/>
      <c r="AD237" s="67"/>
      <c r="AE237" s="67"/>
      <c r="AF237" s="67"/>
      <c r="AG237" s="67"/>
      <c r="AH237" s="67"/>
      <c r="AI237" s="67"/>
      <c r="AJ237" s="67"/>
      <c r="AK237" s="67"/>
      <c r="AL237" s="67"/>
      <c r="AM237" s="67"/>
      <c r="AN237" s="67"/>
      <c r="AO237" s="67"/>
      <c r="AP237" s="67"/>
      <c r="AQ237" s="67"/>
      <c r="AR237" s="67"/>
      <c r="AS237" s="67"/>
      <c r="AT237" s="67"/>
      <c r="AU237" s="67"/>
      <c r="AV237" s="67"/>
      <c r="AW237" s="67"/>
      <c r="AX237" s="67"/>
      <c r="AY237" s="67"/>
      <c r="AZ237" s="67"/>
      <c r="BA237" s="67"/>
      <c r="BB237" s="67"/>
      <c r="BC237" s="67"/>
      <c r="BD237" s="67"/>
      <c r="BE237" s="67"/>
      <c r="BF237" s="67"/>
      <c r="BG237" s="67"/>
      <c r="BH237" s="67"/>
      <c r="BI237" s="67"/>
      <c r="BJ237" s="67"/>
      <c r="BK237" s="67"/>
      <c r="BL237" s="67"/>
      <c r="BM237" s="67"/>
      <c r="BN237" s="67"/>
      <c r="BO237" s="67"/>
      <c r="BP237" s="67"/>
      <c r="BQ237" s="67"/>
      <c r="BR237" s="67"/>
      <c r="BS237" s="67"/>
      <c r="BT237" s="67"/>
      <c r="BU237" s="67"/>
      <c r="BV237" s="67"/>
      <c r="BW237" s="67"/>
      <c r="BX237" s="67"/>
      <c r="BY237" s="67"/>
      <c r="BZ237" s="67"/>
      <c r="CA237" s="67"/>
      <c r="CB237" s="67"/>
      <c r="CC237" s="67"/>
      <c r="CD237" s="67"/>
      <c r="CE237" s="67"/>
      <c r="CF237" s="67"/>
      <c r="CG237" s="67"/>
      <c r="CH237" s="67"/>
      <c r="CI237" s="67"/>
      <c r="CJ237" s="67"/>
      <c r="CK237" s="67"/>
      <c r="CL237" s="67"/>
      <c r="CM237" s="67"/>
      <c r="CN237" s="67"/>
      <c r="CO237" s="67"/>
      <c r="CP237" s="67"/>
      <c r="CQ237" s="67"/>
      <c r="CR237" s="67"/>
      <c r="CS237" s="67"/>
      <c r="CT237" s="67"/>
      <c r="CU237" s="67"/>
      <c r="CV237" s="67"/>
      <c r="CW237" s="67"/>
      <c r="CX237" s="67"/>
      <c r="CY237" s="67"/>
      <c r="CZ237" s="67"/>
      <c r="DA237" s="67"/>
      <c r="DB237" s="67"/>
      <c r="DC237" s="67"/>
      <c r="DD237" s="67"/>
      <c r="DE237" s="67"/>
      <c r="DF237" s="67"/>
      <c r="DG237" s="67"/>
      <c r="DH237" s="67"/>
      <c r="DI237" s="67"/>
      <c r="DJ237" s="67"/>
      <c r="DK237" s="67"/>
      <c r="DL237" s="67"/>
      <c r="DM237" s="67"/>
      <c r="DN237" s="67"/>
      <c r="DO237" s="67"/>
      <c r="DP237" s="67"/>
      <c r="DQ237" s="67"/>
      <c r="DR237" s="67"/>
      <c r="DS237" s="67"/>
      <c r="DT237" s="67"/>
      <c r="DU237" s="67"/>
      <c r="DV237" s="67"/>
      <c r="DW237" s="67"/>
      <c r="DX237" s="67"/>
      <c r="DY237" s="67"/>
      <c r="DZ237" s="67"/>
      <c r="EA237" s="67"/>
      <c r="EB237" s="67"/>
      <c r="EC237" s="67"/>
      <c r="ED237" s="67"/>
      <c r="EE237" s="67"/>
      <c r="EF237" s="67"/>
      <c r="EG237" s="67"/>
      <c r="EH237" s="67"/>
      <c r="EI237" s="67"/>
      <c r="EJ237" s="67"/>
      <c r="EK237" s="67"/>
      <c r="EL237" s="67"/>
      <c r="EM237" s="67"/>
      <c r="EN237" s="67"/>
      <c r="EO237" s="67"/>
      <c r="EP237" s="67"/>
      <c r="EQ237" s="67"/>
      <c r="ER237" s="67"/>
      <c r="ES237" s="67"/>
      <c r="ET237" s="67"/>
      <c r="EU237" s="67"/>
      <c r="EV237" s="67"/>
      <c r="EW237" s="67"/>
      <c r="EX237" s="67"/>
      <c r="EY237" s="67"/>
      <c r="EZ237" s="67"/>
      <c r="FA237" s="67"/>
      <c r="FB237" s="67"/>
      <c r="FC237" s="67"/>
      <c r="FD237" s="67"/>
      <c r="FE237" s="67"/>
      <c r="FF237" s="67"/>
      <c r="FG237" s="67"/>
      <c r="FH237" s="67"/>
      <c r="FI237" s="67"/>
      <c r="FJ237" s="67"/>
      <c r="FK237" s="67"/>
      <c r="FL237" s="67"/>
      <c r="FM237" s="67"/>
      <c r="FN237" s="67"/>
      <c r="FO237" s="67"/>
      <c r="FP237" s="67"/>
      <c r="FQ237" s="67"/>
      <c r="FR237" s="67"/>
      <c r="FS237" s="67"/>
      <c r="FT237" s="67"/>
      <c r="FU237" s="67"/>
      <c r="FV237" s="67"/>
      <c r="FW237" s="67"/>
      <c r="FX237" s="67"/>
      <c r="FY237" s="67"/>
      <c r="FZ237" s="67"/>
      <c r="GA237" s="67"/>
      <c r="GB237" s="67"/>
      <c r="GC237" s="67"/>
      <c r="GD237" s="67"/>
      <c r="GE237" s="67"/>
      <c r="GF237" s="67"/>
      <c r="GG237" s="67"/>
      <c r="GH237" s="67"/>
      <c r="GI237" s="67"/>
      <c r="GJ237" s="67"/>
      <c r="GK237" s="67"/>
      <c r="GL237" s="67"/>
      <c r="GM237" s="67"/>
      <c r="GN237" s="67"/>
      <c r="GO237" s="67"/>
      <c r="GP237" s="67"/>
      <c r="GQ237" s="67"/>
      <c r="GR237" s="67"/>
      <c r="GS237" s="67"/>
      <c r="GT237" s="67"/>
      <c r="GU237" s="67"/>
      <c r="GV237" s="67"/>
      <c r="GW237" s="67"/>
      <c r="GX237" s="67"/>
      <c r="GY237" s="67"/>
      <c r="GZ237" s="67"/>
      <c r="HA237" s="67"/>
      <c r="HB237" s="67"/>
      <c r="HC237" s="67"/>
      <c r="HD237" s="67"/>
      <c r="HE237" s="67"/>
      <c r="HF237" s="67"/>
      <c r="HG237" s="67"/>
      <c r="HH237" s="67"/>
      <c r="HI237" s="67"/>
      <c r="HJ237" s="67"/>
      <c r="HK237" s="67"/>
      <c r="HL237" s="67"/>
      <c r="HM237" s="67"/>
      <c r="HN237" s="67"/>
      <c r="HO237" s="67"/>
      <c r="HP237" s="67"/>
      <c r="HQ237" s="67"/>
      <c r="HR237" s="67"/>
      <c r="HS237" s="67"/>
      <c r="HT237" s="67"/>
      <c r="HU237" s="67"/>
      <c r="HV237" s="67"/>
      <c r="HW237" s="67"/>
      <c r="HX237" s="67"/>
      <c r="HY237" s="67"/>
      <c r="HZ237" s="67"/>
      <c r="IA237" s="67"/>
      <c r="IB237" s="67"/>
      <c r="IC237" s="67"/>
      <c r="ID237" s="67"/>
      <c r="IE237" s="67"/>
      <c r="IF237" s="67"/>
      <c r="IG237" s="67"/>
      <c r="IH237" s="67"/>
      <c r="II237" s="67"/>
      <c r="IJ237" s="67"/>
      <c r="IK237" s="67"/>
      <c r="IL237" s="67"/>
      <c r="IM237" s="67"/>
      <c r="IN237" s="67"/>
      <c r="IO237" s="67"/>
      <c r="IP237" s="67"/>
      <c r="IQ237" s="67"/>
      <c r="IR237" s="67"/>
      <c r="IS237" s="67"/>
      <c r="IT237" s="67"/>
      <c r="IU237" s="67"/>
      <c r="IV237" s="67"/>
    </row>
    <row r="238" spans="1:256" s="67" customFormat="1" ht="41.25" customHeight="1" x14ac:dyDescent="0.3">
      <c r="A238" s="62"/>
      <c r="B238" s="15"/>
      <c r="C238" s="68"/>
      <c r="D238" s="173"/>
      <c r="E238" s="32"/>
      <c r="F238" s="34"/>
      <c r="G238" s="64"/>
      <c r="H238" s="65"/>
      <c r="I238" s="66"/>
      <c r="M238" s="64"/>
      <c r="P238" s="171"/>
      <c r="Q238" s="172"/>
      <c r="R238" s="172"/>
    </row>
    <row r="239" spans="1:256" s="67" customFormat="1" ht="18.75" customHeight="1" x14ac:dyDescent="0.25">
      <c r="A239" s="33"/>
      <c r="B239" s="174"/>
      <c r="C239" s="63"/>
      <c r="D239" s="166"/>
      <c r="E239" s="175"/>
      <c r="F239" s="42"/>
      <c r="G239" s="33"/>
      <c r="H239" s="42"/>
      <c r="I239" s="43"/>
      <c r="J239" s="44"/>
      <c r="K239" s="44"/>
      <c r="L239" s="45"/>
      <c r="M239" s="45"/>
      <c r="N239" s="45"/>
      <c r="O239" s="45"/>
      <c r="P239" s="176"/>
      <c r="Q239" s="34"/>
      <c r="R239" s="34"/>
      <c r="S239" s="34"/>
      <c r="T239" s="34"/>
      <c r="U239" s="34"/>
      <c r="V239" s="34"/>
      <c r="W239" s="34"/>
      <c r="X239" s="34"/>
      <c r="Y239" s="34"/>
      <c r="Z239" s="34"/>
      <c r="AA239" s="34"/>
      <c r="AB239" s="34"/>
      <c r="AC239" s="34"/>
      <c r="AD239" s="34"/>
      <c r="AE239" s="34"/>
      <c r="AF239" s="34"/>
      <c r="AG239" s="34"/>
      <c r="AH239" s="34"/>
      <c r="AI239" s="34"/>
      <c r="AJ239" s="34"/>
      <c r="AK239" s="34"/>
      <c r="AL239" s="34"/>
      <c r="AM239" s="34"/>
      <c r="AN239" s="34"/>
      <c r="AO239" s="34"/>
      <c r="AP239" s="34"/>
      <c r="AQ239" s="34"/>
      <c r="AR239" s="34"/>
      <c r="AS239" s="34"/>
      <c r="AT239" s="34"/>
      <c r="AU239" s="34"/>
      <c r="AV239" s="34"/>
      <c r="AW239" s="34"/>
      <c r="AX239" s="34"/>
      <c r="AY239" s="34"/>
      <c r="AZ239" s="34"/>
      <c r="BA239" s="34"/>
      <c r="BB239" s="34"/>
      <c r="BC239" s="34"/>
      <c r="BD239" s="34"/>
      <c r="BE239" s="34"/>
      <c r="BF239" s="34"/>
      <c r="BG239" s="34"/>
      <c r="BH239" s="34"/>
      <c r="BI239" s="34"/>
      <c r="BJ239" s="34"/>
      <c r="BK239" s="34"/>
      <c r="BL239" s="34"/>
      <c r="BM239" s="34"/>
      <c r="BN239" s="34"/>
      <c r="BO239" s="34"/>
      <c r="BP239" s="34"/>
      <c r="BQ239" s="34"/>
      <c r="BR239" s="34"/>
      <c r="BS239" s="34"/>
      <c r="BT239" s="34"/>
      <c r="BU239" s="34"/>
      <c r="BV239" s="34"/>
      <c r="BW239" s="34"/>
      <c r="BX239" s="34"/>
      <c r="BY239" s="34"/>
      <c r="BZ239" s="34"/>
      <c r="CA239" s="34"/>
      <c r="CB239" s="34"/>
      <c r="CC239" s="34"/>
      <c r="CD239" s="34"/>
      <c r="CE239" s="34"/>
      <c r="CF239" s="34"/>
      <c r="CG239" s="34"/>
      <c r="CH239" s="34"/>
      <c r="CI239" s="34"/>
      <c r="CJ239" s="34"/>
      <c r="CK239" s="34"/>
      <c r="CL239" s="34"/>
      <c r="CM239" s="34"/>
      <c r="CN239" s="34"/>
      <c r="CO239" s="34"/>
      <c r="CP239" s="34"/>
      <c r="CQ239" s="34"/>
      <c r="CR239" s="34"/>
      <c r="CS239" s="34"/>
      <c r="CT239" s="34"/>
      <c r="CU239" s="34"/>
      <c r="CV239" s="34"/>
      <c r="CW239" s="34"/>
      <c r="CX239" s="34"/>
      <c r="CY239" s="34"/>
      <c r="CZ239" s="34"/>
      <c r="DA239" s="34"/>
      <c r="DB239" s="34"/>
      <c r="DC239" s="34"/>
      <c r="DD239" s="34"/>
      <c r="DE239" s="34"/>
      <c r="DF239" s="34"/>
      <c r="DG239" s="34"/>
      <c r="DH239" s="34"/>
      <c r="DI239" s="34"/>
      <c r="DJ239" s="34"/>
      <c r="DK239" s="34"/>
      <c r="DL239" s="34"/>
      <c r="DM239" s="34"/>
      <c r="DN239" s="34"/>
      <c r="DO239" s="34"/>
      <c r="DP239" s="34"/>
      <c r="DQ239" s="34"/>
      <c r="DR239" s="34"/>
      <c r="DS239" s="34"/>
      <c r="DT239" s="34"/>
      <c r="DU239" s="34"/>
      <c r="DV239" s="34"/>
      <c r="DW239" s="34"/>
      <c r="DX239" s="34"/>
      <c r="DY239" s="34"/>
      <c r="DZ239" s="34"/>
      <c r="EA239" s="34"/>
      <c r="EB239" s="34"/>
      <c r="EC239" s="34"/>
      <c r="ED239" s="34"/>
      <c r="EE239" s="34"/>
      <c r="EF239" s="34"/>
      <c r="EG239" s="34"/>
      <c r="EH239" s="34"/>
      <c r="EI239" s="34"/>
      <c r="EJ239" s="34"/>
      <c r="EK239" s="34"/>
      <c r="EL239" s="34"/>
      <c r="EM239" s="34"/>
      <c r="EN239" s="34"/>
      <c r="EO239" s="34"/>
      <c r="EP239" s="34"/>
      <c r="EQ239" s="34"/>
      <c r="ER239" s="34"/>
      <c r="ES239" s="34"/>
      <c r="ET239" s="34"/>
      <c r="EU239" s="34"/>
      <c r="EV239" s="34"/>
      <c r="EW239" s="34"/>
      <c r="EX239" s="34"/>
      <c r="EY239" s="34"/>
      <c r="EZ239" s="34"/>
      <c r="FA239" s="34"/>
      <c r="FB239" s="34"/>
      <c r="FC239" s="34"/>
      <c r="FD239" s="34"/>
      <c r="FE239" s="34"/>
      <c r="FF239" s="34"/>
      <c r="FG239" s="34"/>
      <c r="FH239" s="34"/>
      <c r="FI239" s="34"/>
      <c r="FJ239" s="34"/>
      <c r="FK239" s="34"/>
      <c r="FL239" s="34"/>
      <c r="FM239" s="34"/>
      <c r="FN239" s="34"/>
      <c r="FO239" s="34"/>
      <c r="FP239" s="34"/>
      <c r="FQ239" s="34"/>
      <c r="FR239" s="34"/>
      <c r="FS239" s="34"/>
      <c r="FT239" s="34"/>
      <c r="FU239" s="34"/>
      <c r="FV239" s="34"/>
      <c r="FW239" s="34"/>
      <c r="FX239" s="34"/>
      <c r="FY239" s="34"/>
      <c r="FZ239" s="34"/>
      <c r="GA239" s="34"/>
      <c r="GB239" s="34"/>
      <c r="GC239" s="34"/>
      <c r="GD239" s="34"/>
      <c r="GE239" s="34"/>
      <c r="GF239" s="34"/>
      <c r="GG239" s="34"/>
      <c r="GH239" s="34"/>
      <c r="GI239" s="34"/>
      <c r="GJ239" s="34"/>
      <c r="GK239" s="34"/>
      <c r="GL239" s="34"/>
      <c r="GM239" s="34"/>
      <c r="GN239" s="34"/>
      <c r="GO239" s="34"/>
      <c r="GP239" s="34"/>
      <c r="GQ239" s="34"/>
      <c r="GR239" s="34"/>
      <c r="GS239" s="34"/>
      <c r="GT239" s="34"/>
      <c r="GU239" s="34"/>
      <c r="GV239" s="34"/>
      <c r="GW239" s="34"/>
      <c r="GX239" s="34"/>
      <c r="GY239" s="34"/>
      <c r="GZ239" s="34"/>
      <c r="HA239" s="34"/>
      <c r="HB239" s="34"/>
      <c r="HC239" s="34"/>
      <c r="HD239" s="34"/>
      <c r="HE239" s="34"/>
      <c r="HF239" s="34"/>
      <c r="HG239" s="34"/>
      <c r="HH239" s="34"/>
      <c r="HI239" s="34"/>
      <c r="HJ239" s="34"/>
      <c r="HK239" s="34"/>
      <c r="HL239" s="34"/>
      <c r="HM239" s="34"/>
      <c r="HN239" s="34"/>
      <c r="HO239" s="34"/>
      <c r="HP239" s="34"/>
      <c r="HQ239" s="34"/>
      <c r="HR239" s="34"/>
      <c r="HS239" s="34"/>
      <c r="HT239" s="34"/>
      <c r="HU239" s="34"/>
      <c r="HV239" s="34"/>
      <c r="HW239" s="34"/>
      <c r="HX239" s="34"/>
      <c r="HY239" s="34"/>
      <c r="HZ239" s="34"/>
      <c r="IA239" s="34"/>
      <c r="IB239" s="34"/>
      <c r="IC239" s="34"/>
      <c r="ID239" s="34"/>
      <c r="IE239" s="34"/>
      <c r="IF239" s="34"/>
      <c r="IG239" s="34"/>
      <c r="IH239" s="34"/>
      <c r="II239" s="34"/>
      <c r="IJ239" s="34"/>
      <c r="IK239" s="34"/>
      <c r="IL239" s="34"/>
      <c r="IM239" s="34"/>
      <c r="IN239" s="34"/>
      <c r="IO239" s="34"/>
      <c r="IP239" s="34"/>
      <c r="IQ239" s="34"/>
      <c r="IR239" s="34"/>
      <c r="IS239" s="34"/>
      <c r="IT239" s="34"/>
      <c r="IU239" s="34"/>
      <c r="IV239" s="34"/>
    </row>
    <row r="240" spans="1:256" s="67" customFormat="1" ht="18.75" x14ac:dyDescent="0.25">
      <c r="A240" s="33"/>
      <c r="B240" s="174"/>
      <c r="C240" s="243"/>
      <c r="D240" s="63"/>
      <c r="E240" s="175"/>
      <c r="F240" s="42"/>
      <c r="G240" s="33"/>
      <c r="H240" s="42"/>
      <c r="I240" s="43"/>
      <c r="J240" s="44"/>
      <c r="K240" s="44"/>
      <c r="L240" s="45"/>
      <c r="M240" s="45"/>
      <c r="N240" s="45"/>
      <c r="O240" s="45"/>
      <c r="P240" s="176"/>
      <c r="Q240" s="34"/>
      <c r="R240" s="34"/>
      <c r="S240" s="34"/>
      <c r="T240" s="34"/>
      <c r="U240" s="34"/>
      <c r="V240" s="34"/>
      <c r="W240" s="34"/>
      <c r="X240" s="34"/>
      <c r="Y240" s="34"/>
      <c r="Z240" s="34"/>
      <c r="AA240" s="34"/>
      <c r="AB240" s="34"/>
      <c r="AC240" s="34"/>
      <c r="AD240" s="34"/>
      <c r="AE240" s="34"/>
      <c r="AF240" s="34"/>
      <c r="AG240" s="34"/>
      <c r="AH240" s="34"/>
      <c r="AI240" s="34"/>
      <c r="AJ240" s="34"/>
      <c r="AK240" s="34"/>
      <c r="AL240" s="34"/>
      <c r="AM240" s="34"/>
      <c r="AN240" s="34"/>
      <c r="AO240" s="34"/>
      <c r="AP240" s="34"/>
      <c r="AQ240" s="34"/>
      <c r="AR240" s="34"/>
      <c r="AS240" s="34"/>
      <c r="AT240" s="34"/>
      <c r="AU240" s="34"/>
      <c r="AV240" s="34"/>
      <c r="AW240" s="34"/>
      <c r="AX240" s="34"/>
      <c r="AY240" s="34"/>
      <c r="AZ240" s="34"/>
      <c r="BA240" s="34"/>
      <c r="BB240" s="34"/>
      <c r="BC240" s="34"/>
      <c r="BD240" s="34"/>
      <c r="BE240" s="34"/>
      <c r="BF240" s="34"/>
      <c r="BG240" s="34"/>
      <c r="BH240" s="34"/>
      <c r="BI240" s="34"/>
      <c r="BJ240" s="34"/>
      <c r="BK240" s="34"/>
      <c r="BL240" s="34"/>
      <c r="BM240" s="34"/>
      <c r="BN240" s="34"/>
      <c r="BO240" s="34"/>
      <c r="BP240" s="34"/>
      <c r="BQ240" s="34"/>
      <c r="BR240" s="34"/>
      <c r="BS240" s="34"/>
      <c r="BT240" s="34"/>
      <c r="BU240" s="34"/>
      <c r="BV240" s="34"/>
      <c r="BW240" s="34"/>
      <c r="BX240" s="34"/>
      <c r="BY240" s="34"/>
      <c r="BZ240" s="34"/>
      <c r="CA240" s="34"/>
      <c r="CB240" s="34"/>
      <c r="CC240" s="34"/>
      <c r="CD240" s="34"/>
      <c r="CE240" s="34"/>
      <c r="CF240" s="34"/>
      <c r="CG240" s="34"/>
      <c r="CH240" s="34"/>
      <c r="CI240" s="34"/>
      <c r="CJ240" s="34"/>
      <c r="CK240" s="34"/>
      <c r="CL240" s="34"/>
      <c r="CM240" s="34"/>
      <c r="CN240" s="34"/>
      <c r="CO240" s="34"/>
      <c r="CP240" s="34"/>
      <c r="CQ240" s="34"/>
      <c r="CR240" s="34"/>
      <c r="CS240" s="34"/>
      <c r="CT240" s="34"/>
      <c r="CU240" s="34"/>
      <c r="CV240" s="34"/>
      <c r="CW240" s="34"/>
      <c r="CX240" s="34"/>
      <c r="CY240" s="34"/>
      <c r="CZ240" s="34"/>
      <c r="DA240" s="34"/>
      <c r="DB240" s="34"/>
      <c r="DC240" s="34"/>
      <c r="DD240" s="34"/>
      <c r="DE240" s="34"/>
      <c r="DF240" s="34"/>
      <c r="DG240" s="34"/>
      <c r="DH240" s="34"/>
      <c r="DI240" s="34"/>
      <c r="DJ240" s="34"/>
      <c r="DK240" s="34"/>
      <c r="DL240" s="34"/>
      <c r="DM240" s="34"/>
      <c r="DN240" s="34"/>
      <c r="DO240" s="34"/>
      <c r="DP240" s="34"/>
      <c r="DQ240" s="34"/>
      <c r="DR240" s="34"/>
      <c r="DS240" s="34"/>
      <c r="DT240" s="34"/>
      <c r="DU240" s="34"/>
      <c r="DV240" s="34"/>
      <c r="DW240" s="34"/>
      <c r="DX240" s="34"/>
      <c r="DY240" s="34"/>
      <c r="DZ240" s="34"/>
      <c r="EA240" s="34"/>
      <c r="EB240" s="34"/>
      <c r="EC240" s="34"/>
      <c r="ED240" s="34"/>
      <c r="EE240" s="34"/>
      <c r="EF240" s="34"/>
      <c r="EG240" s="34"/>
      <c r="EH240" s="34"/>
      <c r="EI240" s="34"/>
      <c r="EJ240" s="34"/>
      <c r="EK240" s="34"/>
      <c r="EL240" s="34"/>
      <c r="EM240" s="34"/>
      <c r="EN240" s="34"/>
      <c r="EO240" s="34"/>
      <c r="EP240" s="34"/>
      <c r="EQ240" s="34"/>
      <c r="ER240" s="34"/>
      <c r="ES240" s="34"/>
      <c r="ET240" s="34"/>
      <c r="EU240" s="34"/>
      <c r="EV240" s="34"/>
      <c r="EW240" s="34"/>
      <c r="EX240" s="34"/>
      <c r="EY240" s="34"/>
      <c r="EZ240" s="34"/>
      <c r="FA240" s="34"/>
      <c r="FB240" s="34"/>
      <c r="FC240" s="34"/>
      <c r="FD240" s="34"/>
      <c r="FE240" s="34"/>
      <c r="FF240" s="34"/>
      <c r="FG240" s="34"/>
      <c r="FH240" s="34"/>
      <c r="FI240" s="34"/>
      <c r="FJ240" s="34"/>
      <c r="FK240" s="34"/>
      <c r="FL240" s="34"/>
      <c r="FM240" s="34"/>
      <c r="FN240" s="34"/>
      <c r="FO240" s="34"/>
      <c r="FP240" s="34"/>
      <c r="FQ240" s="34"/>
      <c r="FR240" s="34"/>
      <c r="FS240" s="34"/>
      <c r="FT240" s="34"/>
      <c r="FU240" s="34"/>
      <c r="FV240" s="34"/>
      <c r="FW240" s="34"/>
      <c r="FX240" s="34"/>
      <c r="FY240" s="34"/>
      <c r="FZ240" s="34"/>
      <c r="GA240" s="34"/>
      <c r="GB240" s="34"/>
      <c r="GC240" s="34"/>
      <c r="GD240" s="34"/>
      <c r="GE240" s="34"/>
      <c r="GF240" s="34"/>
      <c r="GG240" s="34"/>
      <c r="GH240" s="34"/>
      <c r="GI240" s="34"/>
      <c r="GJ240" s="34"/>
      <c r="GK240" s="34"/>
      <c r="GL240" s="34"/>
      <c r="GM240" s="34"/>
      <c r="GN240" s="34"/>
      <c r="GO240" s="34"/>
      <c r="GP240" s="34"/>
      <c r="GQ240" s="34"/>
      <c r="GR240" s="34"/>
      <c r="GS240" s="34"/>
      <c r="GT240" s="34"/>
      <c r="GU240" s="34"/>
      <c r="GV240" s="34"/>
      <c r="GW240" s="34"/>
      <c r="GX240" s="34"/>
      <c r="GY240" s="34"/>
      <c r="GZ240" s="34"/>
      <c r="HA240" s="34"/>
      <c r="HB240" s="34"/>
      <c r="HC240" s="34"/>
      <c r="HD240" s="34"/>
      <c r="HE240" s="34"/>
      <c r="HF240" s="34"/>
      <c r="HG240" s="34"/>
      <c r="HH240" s="34"/>
      <c r="HI240" s="34"/>
      <c r="HJ240" s="34"/>
      <c r="HK240" s="34"/>
      <c r="HL240" s="34"/>
      <c r="HM240" s="34"/>
      <c r="HN240" s="34"/>
      <c r="HO240" s="34"/>
      <c r="HP240" s="34"/>
      <c r="HQ240" s="34"/>
      <c r="HR240" s="34"/>
      <c r="HS240" s="34"/>
      <c r="HT240" s="34"/>
      <c r="HU240" s="34"/>
      <c r="HV240" s="34"/>
      <c r="HW240" s="34"/>
      <c r="HX240" s="34"/>
      <c r="HY240" s="34"/>
      <c r="HZ240" s="34"/>
      <c r="IA240" s="34"/>
      <c r="IB240" s="34"/>
      <c r="IC240" s="34"/>
      <c r="ID240" s="34"/>
      <c r="IE240" s="34"/>
      <c r="IF240" s="34"/>
      <c r="IG240" s="34"/>
      <c r="IH240" s="34"/>
      <c r="II240" s="34"/>
      <c r="IJ240" s="34"/>
      <c r="IK240" s="34"/>
      <c r="IL240" s="34"/>
      <c r="IM240" s="34"/>
      <c r="IN240" s="34"/>
      <c r="IO240" s="34"/>
      <c r="IP240" s="34"/>
      <c r="IQ240" s="34"/>
      <c r="IR240" s="34"/>
      <c r="IS240" s="34"/>
      <c r="IT240" s="34"/>
      <c r="IU240" s="34"/>
      <c r="IV240" s="34"/>
    </row>
    <row r="241" spans="1:256" s="67" customFormat="1" ht="63.75" customHeight="1" x14ac:dyDescent="0.25">
      <c r="A241" s="33"/>
      <c r="B241" s="33"/>
      <c r="C241" s="540"/>
      <c r="D241" s="540"/>
      <c r="E241" s="175"/>
      <c r="F241" s="42"/>
      <c r="G241" s="33"/>
      <c r="H241" s="42"/>
      <c r="I241" s="43"/>
      <c r="J241" s="44"/>
      <c r="K241" s="44"/>
      <c r="L241" s="45"/>
      <c r="M241" s="45"/>
      <c r="N241" s="45"/>
      <c r="O241" s="45"/>
      <c r="P241" s="176"/>
      <c r="Q241" s="34"/>
      <c r="R241" s="34"/>
      <c r="S241" s="34"/>
      <c r="T241" s="34"/>
      <c r="U241" s="34"/>
      <c r="V241" s="34"/>
      <c r="W241" s="34"/>
      <c r="X241" s="34"/>
      <c r="Y241" s="34"/>
      <c r="Z241" s="34"/>
      <c r="AA241" s="34"/>
      <c r="AB241" s="34"/>
      <c r="AC241" s="34"/>
      <c r="AD241" s="34"/>
      <c r="AE241" s="34"/>
      <c r="AF241" s="34"/>
      <c r="AG241" s="34"/>
      <c r="AH241" s="34"/>
      <c r="AI241" s="34"/>
      <c r="AJ241" s="34"/>
      <c r="AK241" s="34"/>
      <c r="AL241" s="34"/>
      <c r="AM241" s="34"/>
      <c r="AN241" s="34"/>
      <c r="AO241" s="34"/>
      <c r="AP241" s="34"/>
      <c r="AQ241" s="34"/>
      <c r="AR241" s="34"/>
      <c r="AS241" s="34"/>
      <c r="AT241" s="34"/>
      <c r="AU241" s="34"/>
      <c r="AV241" s="34"/>
      <c r="AW241" s="34"/>
      <c r="AX241" s="34"/>
      <c r="AY241" s="34"/>
      <c r="AZ241" s="34"/>
      <c r="BA241" s="34"/>
      <c r="BB241" s="34"/>
      <c r="BC241" s="34"/>
      <c r="BD241" s="34"/>
      <c r="BE241" s="34"/>
      <c r="BF241" s="34"/>
      <c r="BG241" s="34"/>
      <c r="BH241" s="34"/>
      <c r="BI241" s="34"/>
      <c r="BJ241" s="34"/>
      <c r="BK241" s="34"/>
      <c r="BL241" s="34"/>
      <c r="BM241" s="34"/>
      <c r="BN241" s="34"/>
      <c r="BO241" s="34"/>
      <c r="BP241" s="34"/>
      <c r="BQ241" s="34"/>
      <c r="BR241" s="34"/>
      <c r="BS241" s="34"/>
      <c r="BT241" s="34"/>
      <c r="BU241" s="34"/>
      <c r="BV241" s="34"/>
      <c r="BW241" s="34"/>
      <c r="BX241" s="34"/>
      <c r="BY241" s="34"/>
      <c r="BZ241" s="34"/>
      <c r="CA241" s="34"/>
      <c r="CB241" s="34"/>
      <c r="CC241" s="34"/>
      <c r="CD241" s="34"/>
      <c r="CE241" s="34"/>
      <c r="CF241" s="34"/>
      <c r="CG241" s="34"/>
      <c r="CH241" s="34"/>
      <c r="CI241" s="34"/>
      <c r="CJ241" s="34"/>
      <c r="CK241" s="34"/>
      <c r="CL241" s="34"/>
      <c r="CM241" s="34"/>
      <c r="CN241" s="34"/>
      <c r="CO241" s="34"/>
      <c r="CP241" s="34"/>
      <c r="CQ241" s="34"/>
      <c r="CR241" s="34"/>
      <c r="CS241" s="34"/>
      <c r="CT241" s="34"/>
      <c r="CU241" s="34"/>
      <c r="CV241" s="34"/>
      <c r="CW241" s="34"/>
      <c r="CX241" s="34"/>
      <c r="CY241" s="34"/>
      <c r="CZ241" s="34"/>
      <c r="DA241" s="34"/>
      <c r="DB241" s="34"/>
      <c r="DC241" s="34"/>
      <c r="DD241" s="34"/>
      <c r="DE241" s="34"/>
      <c r="DF241" s="34"/>
      <c r="DG241" s="34"/>
      <c r="DH241" s="34"/>
      <c r="DI241" s="34"/>
      <c r="DJ241" s="34"/>
      <c r="DK241" s="34"/>
      <c r="DL241" s="34"/>
      <c r="DM241" s="34"/>
      <c r="DN241" s="34"/>
      <c r="DO241" s="34"/>
      <c r="DP241" s="34"/>
      <c r="DQ241" s="34"/>
      <c r="DR241" s="34"/>
      <c r="DS241" s="34"/>
      <c r="DT241" s="34"/>
      <c r="DU241" s="34"/>
      <c r="DV241" s="34"/>
      <c r="DW241" s="34"/>
      <c r="DX241" s="34"/>
      <c r="DY241" s="34"/>
      <c r="DZ241" s="34"/>
      <c r="EA241" s="34"/>
      <c r="EB241" s="34"/>
      <c r="EC241" s="34"/>
      <c r="ED241" s="34"/>
      <c r="EE241" s="34"/>
      <c r="EF241" s="34"/>
      <c r="EG241" s="34"/>
      <c r="EH241" s="34"/>
      <c r="EI241" s="34"/>
      <c r="EJ241" s="34"/>
      <c r="EK241" s="34"/>
      <c r="EL241" s="34"/>
      <c r="EM241" s="34"/>
      <c r="EN241" s="34"/>
      <c r="EO241" s="34"/>
      <c r="EP241" s="34"/>
      <c r="EQ241" s="34"/>
      <c r="ER241" s="34"/>
      <c r="ES241" s="34"/>
      <c r="ET241" s="34"/>
      <c r="EU241" s="34"/>
      <c r="EV241" s="34"/>
      <c r="EW241" s="34"/>
      <c r="EX241" s="34"/>
      <c r="EY241" s="34"/>
      <c r="EZ241" s="34"/>
      <c r="FA241" s="34"/>
      <c r="FB241" s="34"/>
      <c r="FC241" s="34"/>
      <c r="FD241" s="34"/>
      <c r="FE241" s="34"/>
      <c r="FF241" s="34"/>
      <c r="FG241" s="34"/>
      <c r="FH241" s="34"/>
      <c r="FI241" s="34"/>
      <c r="FJ241" s="34"/>
      <c r="FK241" s="34"/>
      <c r="FL241" s="34"/>
      <c r="FM241" s="34"/>
      <c r="FN241" s="34"/>
      <c r="FO241" s="34"/>
      <c r="FP241" s="34"/>
      <c r="FQ241" s="34"/>
      <c r="FR241" s="34"/>
      <c r="FS241" s="34"/>
      <c r="FT241" s="34"/>
      <c r="FU241" s="34"/>
      <c r="FV241" s="34"/>
      <c r="FW241" s="34"/>
      <c r="FX241" s="34"/>
      <c r="FY241" s="34"/>
      <c r="FZ241" s="34"/>
      <c r="GA241" s="34"/>
      <c r="GB241" s="34"/>
      <c r="GC241" s="34"/>
      <c r="GD241" s="34"/>
      <c r="GE241" s="34"/>
      <c r="GF241" s="34"/>
      <c r="GG241" s="34"/>
      <c r="GH241" s="34"/>
      <c r="GI241" s="34"/>
      <c r="GJ241" s="34"/>
      <c r="GK241" s="34"/>
      <c r="GL241" s="34"/>
      <c r="GM241" s="34"/>
      <c r="GN241" s="34"/>
      <c r="GO241" s="34"/>
      <c r="GP241" s="34"/>
      <c r="GQ241" s="34"/>
      <c r="GR241" s="34"/>
      <c r="GS241" s="34"/>
      <c r="GT241" s="34"/>
      <c r="GU241" s="34"/>
      <c r="GV241" s="34"/>
      <c r="GW241" s="34"/>
      <c r="GX241" s="34"/>
      <c r="GY241" s="34"/>
      <c r="GZ241" s="34"/>
      <c r="HA241" s="34"/>
      <c r="HB241" s="34"/>
      <c r="HC241" s="34"/>
      <c r="HD241" s="34"/>
      <c r="HE241" s="34"/>
      <c r="HF241" s="34"/>
      <c r="HG241" s="34"/>
      <c r="HH241" s="34"/>
      <c r="HI241" s="34"/>
      <c r="HJ241" s="34"/>
      <c r="HK241" s="34"/>
      <c r="HL241" s="34"/>
      <c r="HM241" s="34"/>
      <c r="HN241" s="34"/>
      <c r="HO241" s="34"/>
      <c r="HP241" s="34"/>
      <c r="HQ241" s="34"/>
      <c r="HR241" s="34"/>
      <c r="HS241" s="34"/>
      <c r="HT241" s="34"/>
      <c r="HU241" s="34"/>
      <c r="HV241" s="34"/>
      <c r="HW241" s="34"/>
      <c r="HX241" s="34"/>
      <c r="HY241" s="34"/>
      <c r="HZ241" s="34"/>
      <c r="IA241" s="34"/>
      <c r="IB241" s="34"/>
      <c r="IC241" s="34"/>
      <c r="ID241" s="34"/>
      <c r="IE241" s="34"/>
      <c r="IF241" s="34"/>
      <c r="IG241" s="34"/>
      <c r="IH241" s="34"/>
      <c r="II241" s="34"/>
      <c r="IJ241" s="34"/>
      <c r="IK241" s="34"/>
      <c r="IL241" s="34"/>
      <c r="IM241" s="34"/>
      <c r="IN241" s="34"/>
      <c r="IO241" s="34"/>
      <c r="IP241" s="34"/>
      <c r="IQ241" s="34"/>
      <c r="IR241" s="34"/>
      <c r="IS241" s="34"/>
      <c r="IT241" s="34"/>
      <c r="IU241" s="34"/>
      <c r="IV241" s="34"/>
    </row>
    <row r="242" spans="1:256" ht="28.5" customHeight="1" x14ac:dyDescent="0.25">
      <c r="C242" s="63"/>
      <c r="D242" s="63"/>
      <c r="O242" s="16"/>
      <c r="P242" s="16"/>
      <c r="Q242" s="36"/>
      <c r="R242" s="36"/>
      <c r="S242" s="36"/>
      <c r="T242" s="36"/>
      <c r="U242" s="36"/>
      <c r="V242" s="36"/>
      <c r="W242" s="36"/>
      <c r="X242" s="36"/>
      <c r="Y242" s="36"/>
      <c r="Z242" s="36"/>
      <c r="AA242" s="36"/>
      <c r="AB242" s="36"/>
      <c r="AC242" s="36"/>
      <c r="AD242" s="36"/>
      <c r="AE242" s="36"/>
      <c r="AF242" s="36"/>
      <c r="AG242" s="36"/>
      <c r="AH242" s="36"/>
      <c r="AI242" s="36"/>
      <c r="AJ242" s="36"/>
      <c r="AK242" s="36"/>
      <c r="AL242" s="36"/>
      <c r="AM242" s="36"/>
      <c r="AN242" s="36"/>
      <c r="AO242" s="36"/>
      <c r="AP242" s="36"/>
      <c r="AQ242" s="36"/>
      <c r="AR242" s="36"/>
      <c r="AS242" s="36"/>
      <c r="AT242" s="36"/>
      <c r="AU242" s="36"/>
      <c r="AV242" s="36"/>
      <c r="AW242" s="36"/>
      <c r="AX242" s="36"/>
      <c r="AY242" s="36"/>
      <c r="AZ242" s="36"/>
      <c r="BA242" s="36"/>
      <c r="BB242" s="36"/>
      <c r="BC242" s="36"/>
      <c r="BD242" s="36"/>
      <c r="BE242" s="36"/>
      <c r="BF242" s="36"/>
      <c r="BG242" s="36"/>
      <c r="BH242" s="36"/>
      <c r="BI242" s="36"/>
      <c r="BJ242" s="36"/>
      <c r="BK242" s="36"/>
      <c r="BL242" s="36"/>
      <c r="BM242" s="36"/>
      <c r="BN242" s="36"/>
      <c r="BO242" s="36"/>
      <c r="BP242" s="36"/>
      <c r="BQ242" s="36"/>
      <c r="BR242" s="36"/>
      <c r="BS242" s="36"/>
      <c r="BT242" s="36"/>
    </row>
    <row r="243" spans="1:256" x14ac:dyDescent="0.25">
      <c r="C243" s="68"/>
      <c r="D243" s="68"/>
      <c r="O243" s="16"/>
      <c r="P243" s="16"/>
      <c r="Q243" s="36"/>
      <c r="R243" s="36"/>
      <c r="S243" s="36"/>
      <c r="T243" s="36"/>
      <c r="U243" s="36"/>
      <c r="V243" s="36"/>
      <c r="W243" s="36"/>
      <c r="X243" s="36"/>
      <c r="Y243" s="36"/>
      <c r="Z243" s="36"/>
      <c r="AA243" s="36"/>
      <c r="AB243" s="36"/>
      <c r="AC243" s="36"/>
      <c r="AD243" s="36"/>
      <c r="AE243" s="36"/>
      <c r="AF243" s="36"/>
      <c r="AG243" s="36"/>
      <c r="AH243" s="36"/>
      <c r="AI243" s="36"/>
      <c r="AJ243" s="36"/>
      <c r="AK243" s="36"/>
      <c r="AL243" s="36"/>
      <c r="AM243" s="36"/>
      <c r="AN243" s="36"/>
      <c r="AO243" s="36"/>
      <c r="AP243" s="36"/>
      <c r="AQ243" s="36"/>
      <c r="AR243" s="36"/>
      <c r="AS243" s="36"/>
      <c r="AT243" s="36"/>
      <c r="AU243" s="36"/>
      <c r="AV243" s="36"/>
      <c r="AW243" s="36"/>
      <c r="AX243" s="36"/>
      <c r="AY243" s="36"/>
      <c r="AZ243" s="36"/>
      <c r="BA243" s="36"/>
      <c r="BB243" s="36"/>
      <c r="BC243" s="36"/>
      <c r="BD243" s="36"/>
      <c r="BE243" s="36"/>
      <c r="BF243" s="36"/>
      <c r="BG243" s="36"/>
      <c r="BH243" s="36"/>
      <c r="BI243" s="36"/>
      <c r="BJ243" s="36"/>
      <c r="BK243" s="36"/>
      <c r="BL243" s="36"/>
      <c r="BM243" s="36"/>
      <c r="BN243" s="36"/>
      <c r="BO243" s="36"/>
      <c r="BP243" s="36"/>
      <c r="BQ243" s="36"/>
      <c r="BR243" s="36"/>
      <c r="BS243" s="36"/>
      <c r="BT243" s="36"/>
    </row>
    <row r="244" spans="1:256" ht="51.75" customHeight="1" x14ac:dyDescent="0.25">
      <c r="C244" s="72"/>
      <c r="D244" s="72"/>
      <c r="O244" s="16"/>
      <c r="P244" s="16"/>
      <c r="Q244" s="36"/>
      <c r="R244" s="36"/>
      <c r="S244" s="36"/>
      <c r="T244" s="36"/>
      <c r="U244" s="36"/>
      <c r="V244" s="36"/>
      <c r="W244" s="36"/>
      <c r="X244" s="36"/>
      <c r="Y244" s="36"/>
      <c r="Z244" s="36"/>
      <c r="AA244" s="36"/>
      <c r="AB244" s="36"/>
      <c r="AC244" s="36"/>
      <c r="AD244" s="36"/>
      <c r="AE244" s="36"/>
      <c r="AF244" s="36"/>
      <c r="AG244" s="36"/>
      <c r="AH244" s="36"/>
      <c r="AI244" s="36"/>
      <c r="AJ244" s="36"/>
      <c r="AK244" s="36"/>
      <c r="AL244" s="36"/>
      <c r="AM244" s="36"/>
      <c r="AN244" s="36"/>
      <c r="AO244" s="36"/>
      <c r="AP244" s="36"/>
      <c r="AQ244" s="36"/>
      <c r="AR244" s="36"/>
      <c r="AS244" s="36"/>
      <c r="AT244" s="36"/>
      <c r="AU244" s="36"/>
      <c r="AV244" s="36"/>
      <c r="AW244" s="36"/>
      <c r="AX244" s="36"/>
      <c r="AY244" s="36"/>
      <c r="AZ244" s="36"/>
      <c r="BA244" s="36"/>
      <c r="BB244" s="36"/>
      <c r="BC244" s="36"/>
      <c r="BD244" s="36"/>
      <c r="BE244" s="36"/>
      <c r="BF244" s="36"/>
      <c r="BG244" s="36"/>
      <c r="BH244" s="36"/>
      <c r="BI244" s="36"/>
      <c r="BJ244" s="36"/>
      <c r="BK244" s="36"/>
      <c r="BL244" s="36"/>
      <c r="BM244" s="36"/>
      <c r="BN244" s="36"/>
      <c r="BO244" s="36"/>
      <c r="BP244" s="36"/>
      <c r="BQ244" s="36"/>
      <c r="BR244" s="36"/>
      <c r="BS244" s="36"/>
      <c r="BT244" s="36"/>
    </row>
    <row r="245" spans="1:256" x14ac:dyDescent="0.25">
      <c r="O245" s="16"/>
      <c r="P245" s="16"/>
      <c r="Q245" s="36"/>
      <c r="R245" s="36"/>
      <c r="S245" s="36"/>
      <c r="T245" s="36"/>
      <c r="U245" s="36"/>
      <c r="V245" s="36"/>
      <c r="W245" s="36"/>
      <c r="X245" s="36"/>
      <c r="Y245" s="36"/>
      <c r="Z245" s="36"/>
      <c r="AA245" s="36"/>
      <c r="AB245" s="36"/>
      <c r="AC245" s="36"/>
      <c r="AD245" s="36"/>
      <c r="AE245" s="36"/>
      <c r="AF245" s="36"/>
      <c r="AG245" s="36"/>
      <c r="AH245" s="36"/>
      <c r="AI245" s="36"/>
      <c r="AJ245" s="36"/>
      <c r="AK245" s="36"/>
      <c r="AL245" s="36"/>
      <c r="AM245" s="36"/>
      <c r="AN245" s="36"/>
      <c r="AO245" s="36"/>
      <c r="AP245" s="36"/>
      <c r="AQ245" s="36"/>
      <c r="AR245" s="36"/>
      <c r="AS245" s="36"/>
      <c r="AT245" s="36"/>
      <c r="AU245" s="36"/>
      <c r="AV245" s="36"/>
      <c r="AW245" s="36"/>
      <c r="AX245" s="36"/>
      <c r="AY245" s="36"/>
      <c r="AZ245" s="36"/>
      <c r="BA245" s="36"/>
      <c r="BB245" s="36"/>
      <c r="BC245" s="36"/>
      <c r="BD245" s="36"/>
      <c r="BE245" s="36"/>
      <c r="BF245" s="36"/>
      <c r="BG245" s="36"/>
      <c r="BH245" s="36"/>
      <c r="BI245" s="36"/>
      <c r="BJ245" s="36"/>
      <c r="BK245" s="36"/>
      <c r="BL245" s="36"/>
      <c r="BM245" s="36"/>
      <c r="BN245" s="36"/>
      <c r="BO245" s="36"/>
      <c r="BP245" s="36"/>
      <c r="BQ245" s="36"/>
      <c r="BR245" s="36"/>
      <c r="BS245" s="36"/>
      <c r="BT245" s="36"/>
    </row>
    <row r="246" spans="1:256" x14ac:dyDescent="0.25">
      <c r="O246" s="16"/>
      <c r="P246" s="16"/>
      <c r="Q246" s="36"/>
      <c r="R246" s="36"/>
      <c r="S246" s="36"/>
      <c r="T246" s="36"/>
      <c r="U246" s="36"/>
      <c r="V246" s="36"/>
      <c r="W246" s="36"/>
      <c r="X246" s="36"/>
      <c r="Y246" s="36"/>
      <c r="Z246" s="36"/>
      <c r="AA246" s="36"/>
      <c r="AB246" s="36"/>
      <c r="AC246" s="36"/>
      <c r="AD246" s="36"/>
      <c r="AE246" s="36"/>
      <c r="AF246" s="36"/>
      <c r="AG246" s="36"/>
      <c r="AH246" s="36"/>
      <c r="AI246" s="36"/>
      <c r="AJ246" s="36"/>
      <c r="AK246" s="36"/>
      <c r="AL246" s="36"/>
      <c r="AM246" s="36"/>
      <c r="AN246" s="36"/>
      <c r="AO246" s="36"/>
      <c r="AP246" s="36"/>
      <c r="AQ246" s="36"/>
      <c r="AR246" s="36"/>
      <c r="AS246" s="36"/>
      <c r="AT246" s="36"/>
      <c r="AU246" s="36"/>
      <c r="AV246" s="36"/>
      <c r="AW246" s="36"/>
      <c r="AX246" s="36"/>
      <c r="AY246" s="36"/>
      <c r="AZ246" s="36"/>
      <c r="BA246" s="36"/>
      <c r="BB246" s="36"/>
      <c r="BC246" s="36"/>
      <c r="BD246" s="36"/>
      <c r="BE246" s="36"/>
      <c r="BF246" s="36"/>
      <c r="BG246" s="36"/>
      <c r="BH246" s="36"/>
      <c r="BI246" s="36"/>
      <c r="BJ246" s="36"/>
      <c r="BK246" s="36"/>
      <c r="BL246" s="36"/>
      <c r="BM246" s="36"/>
      <c r="BN246" s="36"/>
      <c r="BO246" s="36"/>
      <c r="BP246" s="36"/>
      <c r="BQ246" s="36"/>
      <c r="BR246" s="36"/>
      <c r="BS246" s="36"/>
      <c r="BT246" s="36"/>
    </row>
    <row r="247" spans="1:256" x14ac:dyDescent="0.25">
      <c r="O247" s="16"/>
      <c r="P247" s="16"/>
      <c r="Q247" s="36"/>
      <c r="R247" s="36"/>
      <c r="S247" s="36"/>
      <c r="T247" s="36"/>
      <c r="U247" s="36"/>
      <c r="V247" s="36"/>
      <c r="W247" s="36"/>
      <c r="X247" s="36"/>
      <c r="Y247" s="36"/>
      <c r="Z247" s="36"/>
      <c r="AA247" s="36"/>
      <c r="AB247" s="36"/>
      <c r="AC247" s="36"/>
      <c r="AD247" s="36"/>
      <c r="AE247" s="36"/>
      <c r="AF247" s="36"/>
      <c r="AG247" s="36"/>
      <c r="AH247" s="36"/>
      <c r="AI247" s="36"/>
      <c r="AJ247" s="36"/>
      <c r="AK247" s="36"/>
      <c r="AL247" s="36"/>
      <c r="AM247" s="36"/>
      <c r="AN247" s="36"/>
      <c r="AO247" s="36"/>
      <c r="AP247" s="36"/>
      <c r="AQ247" s="36"/>
      <c r="AR247" s="36"/>
      <c r="AS247" s="36"/>
      <c r="AT247" s="36"/>
      <c r="AU247" s="36"/>
      <c r="AV247" s="36"/>
      <c r="AW247" s="36"/>
      <c r="AX247" s="36"/>
      <c r="AY247" s="36"/>
      <c r="AZ247" s="36"/>
      <c r="BA247" s="36"/>
      <c r="BB247" s="36"/>
      <c r="BC247" s="36"/>
      <c r="BD247" s="36"/>
      <c r="BE247" s="36"/>
      <c r="BF247" s="36"/>
      <c r="BG247" s="36"/>
      <c r="BH247" s="36"/>
      <c r="BI247" s="36"/>
      <c r="BJ247" s="36"/>
      <c r="BK247" s="36"/>
      <c r="BL247" s="36"/>
      <c r="BM247" s="36"/>
      <c r="BN247" s="36"/>
      <c r="BO247" s="36"/>
      <c r="BP247" s="36"/>
      <c r="BQ247" s="36"/>
      <c r="BR247" s="36"/>
      <c r="BS247" s="36"/>
      <c r="BT247" s="36"/>
    </row>
    <row r="248" spans="1:256" x14ac:dyDescent="0.25">
      <c r="O248" s="16"/>
      <c r="P248" s="16"/>
      <c r="Q248" s="36"/>
      <c r="R248" s="36"/>
      <c r="S248" s="36"/>
      <c r="T248" s="36"/>
      <c r="U248" s="36"/>
      <c r="V248" s="36"/>
      <c r="W248" s="36"/>
      <c r="X248" s="36"/>
      <c r="Y248" s="36"/>
      <c r="Z248" s="36"/>
      <c r="AA248" s="36"/>
      <c r="AB248" s="36"/>
      <c r="AC248" s="36"/>
      <c r="AD248" s="36"/>
      <c r="AE248" s="36"/>
      <c r="AF248" s="36"/>
      <c r="AG248" s="36"/>
      <c r="AH248" s="36"/>
      <c r="AI248" s="36"/>
      <c r="AJ248" s="36"/>
      <c r="AK248" s="36"/>
      <c r="AL248" s="36"/>
      <c r="AM248" s="36"/>
      <c r="AN248" s="36"/>
      <c r="AO248" s="36"/>
      <c r="AP248" s="36"/>
      <c r="AQ248" s="36"/>
      <c r="AR248" s="36"/>
      <c r="AS248" s="36"/>
      <c r="AT248" s="36"/>
      <c r="AU248" s="36"/>
      <c r="AV248" s="36"/>
      <c r="AW248" s="36"/>
      <c r="AX248" s="36"/>
      <c r="AY248" s="36"/>
      <c r="AZ248" s="36"/>
      <c r="BA248" s="36"/>
      <c r="BB248" s="36"/>
      <c r="BC248" s="36"/>
      <c r="BD248" s="36"/>
      <c r="BE248" s="36"/>
      <c r="BF248" s="36"/>
      <c r="BG248" s="36"/>
      <c r="BH248" s="36"/>
      <c r="BI248" s="36"/>
      <c r="BJ248" s="36"/>
      <c r="BK248" s="36"/>
      <c r="BL248" s="36"/>
      <c r="BM248" s="36"/>
      <c r="BN248" s="36"/>
      <c r="BO248" s="36"/>
      <c r="BP248" s="36"/>
      <c r="BQ248" s="36"/>
      <c r="BR248" s="36"/>
      <c r="BS248" s="36"/>
      <c r="BT248" s="36"/>
    </row>
    <row r="249" spans="1:256" x14ac:dyDescent="0.25">
      <c r="O249" s="16"/>
      <c r="P249" s="16"/>
      <c r="Q249" s="36"/>
      <c r="R249" s="36"/>
      <c r="S249" s="36"/>
      <c r="T249" s="36"/>
      <c r="U249" s="36"/>
      <c r="V249" s="36"/>
      <c r="W249" s="36"/>
      <c r="X249" s="36"/>
      <c r="Y249" s="36"/>
      <c r="Z249" s="36"/>
      <c r="AA249" s="36"/>
      <c r="AB249" s="36"/>
      <c r="AC249" s="36"/>
      <c r="AD249" s="36"/>
      <c r="AE249" s="36"/>
      <c r="AF249" s="36"/>
      <c r="AG249" s="36"/>
      <c r="AH249" s="36"/>
      <c r="AI249" s="36"/>
      <c r="AJ249" s="36"/>
      <c r="AK249" s="36"/>
      <c r="AL249" s="36"/>
      <c r="AM249" s="36"/>
      <c r="AN249" s="36"/>
      <c r="AO249" s="36"/>
      <c r="AP249" s="36"/>
      <c r="AQ249" s="36"/>
      <c r="AR249" s="36"/>
      <c r="AS249" s="36"/>
      <c r="AT249" s="36"/>
      <c r="AU249" s="36"/>
      <c r="AV249" s="36"/>
      <c r="AW249" s="36"/>
      <c r="AX249" s="36"/>
      <c r="AY249" s="36"/>
      <c r="AZ249" s="36"/>
      <c r="BA249" s="36"/>
      <c r="BB249" s="36"/>
      <c r="BC249" s="36"/>
      <c r="BD249" s="36"/>
      <c r="BE249" s="36"/>
      <c r="BF249" s="36"/>
      <c r="BG249" s="36"/>
      <c r="BH249" s="36"/>
      <c r="BI249" s="36"/>
      <c r="BJ249" s="36"/>
      <c r="BK249" s="36"/>
      <c r="BL249" s="36"/>
      <c r="BM249" s="36"/>
      <c r="BN249" s="36"/>
      <c r="BO249" s="36"/>
      <c r="BP249" s="36"/>
      <c r="BQ249" s="36"/>
      <c r="BR249" s="36"/>
      <c r="BS249" s="36"/>
      <c r="BT249" s="36"/>
    </row>
    <row r="250" spans="1:256" x14ac:dyDescent="0.25">
      <c r="O250" s="16"/>
      <c r="P250" s="16"/>
      <c r="Q250" s="36"/>
      <c r="R250" s="36"/>
      <c r="S250" s="36"/>
      <c r="T250" s="36"/>
      <c r="U250" s="36"/>
      <c r="V250" s="36"/>
      <c r="W250" s="36"/>
      <c r="X250" s="36"/>
      <c r="Y250" s="36"/>
      <c r="Z250" s="36"/>
      <c r="AA250" s="36"/>
      <c r="AB250" s="36"/>
      <c r="AC250" s="36"/>
      <c r="AD250" s="36"/>
      <c r="AE250" s="36"/>
      <c r="AF250" s="36"/>
      <c r="AG250" s="36"/>
      <c r="AH250" s="36"/>
      <c r="AI250" s="36"/>
      <c r="AJ250" s="36"/>
      <c r="AK250" s="36"/>
      <c r="AL250" s="36"/>
      <c r="AM250" s="36"/>
      <c r="AN250" s="36"/>
      <c r="AO250" s="36"/>
      <c r="AP250" s="36"/>
      <c r="AQ250" s="36"/>
      <c r="AR250" s="36"/>
      <c r="AS250" s="36"/>
      <c r="AT250" s="36"/>
      <c r="AU250" s="36"/>
      <c r="AV250" s="36"/>
      <c r="AW250" s="36"/>
      <c r="AX250" s="36"/>
      <c r="AY250" s="36"/>
      <c r="AZ250" s="36"/>
      <c r="BA250" s="36"/>
      <c r="BB250" s="36"/>
      <c r="BC250" s="36"/>
      <c r="BD250" s="36"/>
      <c r="BE250" s="36"/>
      <c r="BF250" s="36"/>
      <c r="BG250" s="36"/>
      <c r="BH250" s="36"/>
      <c r="BI250" s="36"/>
      <c r="BJ250" s="36"/>
      <c r="BK250" s="36"/>
      <c r="BL250" s="36"/>
      <c r="BM250" s="36"/>
      <c r="BN250" s="36"/>
      <c r="BO250" s="36"/>
      <c r="BP250" s="36"/>
      <c r="BQ250" s="36"/>
      <c r="BR250" s="36"/>
      <c r="BS250" s="36"/>
      <c r="BT250" s="36"/>
    </row>
  </sheetData>
  <autoFilter ref="A17:N205"/>
  <mergeCells count="30">
    <mergeCell ref="B225:N225"/>
    <mergeCell ref="C237:D237"/>
    <mergeCell ref="B222:N222"/>
    <mergeCell ref="B224:N224"/>
    <mergeCell ref="C241:D241"/>
    <mergeCell ref="B226:N226"/>
    <mergeCell ref="B227:N227"/>
    <mergeCell ref="B228:N228"/>
    <mergeCell ref="B229:M229"/>
    <mergeCell ref="B215:N215"/>
    <mergeCell ref="B223:N223"/>
    <mergeCell ref="B221:N221"/>
    <mergeCell ref="B216:N216"/>
    <mergeCell ref="B217:N217"/>
    <mergeCell ref="B218:N218"/>
    <mergeCell ref="B219:N219"/>
    <mergeCell ref="B220:N220"/>
    <mergeCell ref="A7:N7"/>
    <mergeCell ref="A8:N8"/>
    <mergeCell ref="A9:N9"/>
    <mergeCell ref="A12:A13"/>
    <mergeCell ref="B12:B13"/>
    <mergeCell ref="C12:C13"/>
    <mergeCell ref="D12:D13"/>
    <mergeCell ref="E12:E13"/>
    <mergeCell ref="F12:F13"/>
    <mergeCell ref="G12:G13"/>
    <mergeCell ref="H12:J12"/>
    <mergeCell ref="K12:M12"/>
    <mergeCell ref="N12:N13"/>
  </mergeCells>
  <printOptions horizontalCentered="1"/>
  <pageMargins left="0.35433070866141736" right="0.31496062992125984" top="0.39370078740157483" bottom="0.39370078740157483" header="0.15748031496062992" footer="0.15748031496062992"/>
  <pageSetup paperSize="9" scale="40" fitToHeight="0" orientation="landscape" r:id="rId1"/>
  <headerFooter>
    <oddFooter>&amp;Cстр. &amp;P&amp;Rвсего стр.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heetViews>
  <sheetFormatPr defaultRowHeight="15" x14ac:dyDescent="0.25"/>
  <sheetData>
    <row r="1" spans="1:2" x14ac:dyDescent="0.25">
      <c r="A1">
        <v>0.18</v>
      </c>
    </row>
    <row r="2" spans="1:2" x14ac:dyDescent="0.25">
      <c r="A2">
        <v>0.28999999999999998</v>
      </c>
    </row>
    <row r="3" spans="1:2" x14ac:dyDescent="0.25">
      <c r="A3">
        <v>9.5</v>
      </c>
    </row>
    <row r="4" spans="1:2" x14ac:dyDescent="0.25">
      <c r="A4">
        <v>1.02</v>
      </c>
    </row>
    <row r="5" spans="1:2" x14ac:dyDescent="0.25">
      <c r="A5">
        <v>0.53</v>
      </c>
    </row>
    <row r="6" spans="1:2" x14ac:dyDescent="0.25">
      <c r="A6">
        <v>1.24</v>
      </c>
    </row>
    <row r="7" spans="1:2" x14ac:dyDescent="0.25">
      <c r="A7">
        <v>2.61</v>
      </c>
    </row>
    <row r="8" spans="1:2" x14ac:dyDescent="0.25">
      <c r="A8">
        <v>1.81</v>
      </c>
    </row>
    <row r="10" spans="1:2" x14ac:dyDescent="0.25">
      <c r="A10">
        <f>SUM(A1:A8)</f>
        <v>17.18</v>
      </c>
      <c r="B10" t="s">
        <v>153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O68"/>
  <sheetViews>
    <sheetView workbookViewId="0">
      <selection sqref="A1:I1"/>
    </sheetView>
  </sheetViews>
  <sheetFormatPr defaultRowHeight="15" x14ac:dyDescent="0.25"/>
  <cols>
    <col min="1" max="1" width="27.5703125" style="157" customWidth="1"/>
    <col min="2" max="2" width="7" customWidth="1"/>
    <col min="3" max="3" width="9" customWidth="1"/>
    <col min="4" max="4" width="8.7109375" style="74" bestFit="1" customWidth="1"/>
    <col min="5" max="5" width="11.42578125" customWidth="1"/>
    <col min="6" max="6" width="9" bestFit="1" customWidth="1"/>
    <col min="8" max="8" width="18.140625" customWidth="1"/>
    <col min="11" max="13" width="17.28515625" customWidth="1"/>
    <col min="14" max="14" width="16.42578125" customWidth="1"/>
    <col min="17" max="17" width="10.42578125" bestFit="1" customWidth="1"/>
    <col min="18" max="18" width="13.5703125" customWidth="1"/>
    <col min="20" max="20" width="11.5703125" customWidth="1"/>
    <col min="21" max="21" width="10.5703125" bestFit="1" customWidth="1"/>
    <col min="24" max="24" width="10.42578125" bestFit="1" customWidth="1"/>
    <col min="27" max="27" width="10.5703125" bestFit="1" customWidth="1"/>
    <col min="30" max="30" width="10.5703125" bestFit="1" customWidth="1"/>
    <col min="34" max="34" width="10.5703125" bestFit="1" customWidth="1"/>
  </cols>
  <sheetData>
    <row r="1" spans="1:40" ht="15.75" thickBot="1" x14ac:dyDescent="0.3">
      <c r="A1" s="543"/>
      <c r="B1" s="543"/>
      <c r="C1" s="543"/>
      <c r="D1" s="543"/>
      <c r="E1" s="543"/>
      <c r="F1" s="543"/>
      <c r="G1" s="543"/>
      <c r="H1" s="543"/>
      <c r="I1" s="543"/>
    </row>
    <row r="2" spans="1:40" ht="27.75" customHeight="1" x14ac:dyDescent="0.25">
      <c r="A2" s="182" t="s">
        <v>112</v>
      </c>
      <c r="B2" s="96" t="s">
        <v>115</v>
      </c>
      <c r="C2" s="177" t="s">
        <v>27</v>
      </c>
      <c r="D2" s="96">
        <v>8278.41</v>
      </c>
      <c r="E2" s="96"/>
      <c r="F2" s="96">
        <v>8322.5300000000007</v>
      </c>
      <c r="G2" s="96">
        <f>D2-F2</f>
        <v>-44.1200000000008</v>
      </c>
      <c r="H2" s="96"/>
      <c r="I2" s="101"/>
      <c r="J2" s="185" t="s">
        <v>122</v>
      </c>
    </row>
    <row r="3" spans="1:40" ht="27" customHeight="1" x14ac:dyDescent="0.25">
      <c r="A3" s="183" t="s">
        <v>113</v>
      </c>
      <c r="B3" s="1" t="s">
        <v>116</v>
      </c>
      <c r="C3" s="1" t="s">
        <v>27</v>
      </c>
      <c r="D3" s="1">
        <v>50.79</v>
      </c>
      <c r="E3" s="1"/>
      <c r="F3" s="1">
        <v>50.78</v>
      </c>
      <c r="G3" s="1">
        <f>D3-F3</f>
        <v>9.9999999999980105E-3</v>
      </c>
      <c r="H3" s="1"/>
      <c r="I3" s="103"/>
    </row>
    <row r="4" spans="1:40" ht="27.75" customHeight="1" x14ac:dyDescent="0.25">
      <c r="A4" s="190" t="s">
        <v>114</v>
      </c>
      <c r="B4" s="184" t="s">
        <v>117</v>
      </c>
      <c r="C4" s="184" t="s">
        <v>27</v>
      </c>
      <c r="D4" s="191">
        <f>D5+D6</f>
        <v>4626.4399999999996</v>
      </c>
      <c r="E4" s="184"/>
      <c r="F4" s="184">
        <f>3128.62+1491.36</f>
        <v>4619.9799999999996</v>
      </c>
      <c r="G4" s="1">
        <f>D4-F4</f>
        <v>6.4600000000000399</v>
      </c>
      <c r="H4" s="184"/>
      <c r="I4" s="103"/>
    </row>
    <row r="5" spans="1:40" ht="41.25" customHeight="1" x14ac:dyDescent="0.25">
      <c r="A5" s="102" t="s">
        <v>119</v>
      </c>
      <c r="B5" s="1" t="s">
        <v>105</v>
      </c>
      <c r="C5" s="1" t="s">
        <v>27</v>
      </c>
      <c r="D5" s="1">
        <v>4213.74</v>
      </c>
      <c r="E5" s="186"/>
      <c r="F5" s="186"/>
      <c r="G5" s="186"/>
      <c r="H5" s="186"/>
      <c r="I5" s="187"/>
    </row>
    <row r="6" spans="1:40" ht="34.5" customHeight="1" x14ac:dyDescent="0.25">
      <c r="A6" s="102" t="s">
        <v>118</v>
      </c>
      <c r="B6" s="1" t="s">
        <v>105</v>
      </c>
      <c r="C6" s="1" t="s">
        <v>27</v>
      </c>
      <c r="D6" s="1">
        <v>412.7</v>
      </c>
      <c r="E6" s="186"/>
      <c r="F6" s="186"/>
      <c r="G6" s="186"/>
      <c r="H6" s="186"/>
      <c r="I6" s="187"/>
    </row>
    <row r="7" spans="1:40" ht="18" customHeight="1" x14ac:dyDescent="0.25">
      <c r="A7" s="189" t="s">
        <v>120</v>
      </c>
      <c r="B7" s="1"/>
      <c r="C7" s="7" t="s">
        <v>27</v>
      </c>
      <c r="D7" s="7">
        <v>21.9</v>
      </c>
      <c r="E7" s="7"/>
      <c r="F7" s="1">
        <v>21.99</v>
      </c>
      <c r="G7" s="7">
        <f>D7-F7</f>
        <v>-0.09</v>
      </c>
      <c r="H7" s="1"/>
      <c r="I7" s="103"/>
    </row>
    <row r="8" spans="1:40" ht="18" customHeight="1" x14ac:dyDescent="0.25">
      <c r="A8" s="183" t="s">
        <v>121</v>
      </c>
      <c r="B8" s="1" t="s">
        <v>4</v>
      </c>
      <c r="C8" s="7" t="s">
        <v>27</v>
      </c>
      <c r="D8" s="7">
        <v>747.99</v>
      </c>
      <c r="E8" s="7"/>
      <c r="F8" s="1">
        <v>743.26</v>
      </c>
      <c r="G8" s="7">
        <f>D8-F8</f>
        <v>4.7300000000000004</v>
      </c>
      <c r="H8" s="1"/>
      <c r="I8" s="103"/>
      <c r="J8" s="185" t="s">
        <v>122</v>
      </c>
    </row>
    <row r="9" spans="1:40" ht="18" customHeight="1" x14ac:dyDescent="0.25">
      <c r="A9" s="183" t="s">
        <v>123</v>
      </c>
      <c r="B9" s="184"/>
      <c r="C9" s="188" t="s">
        <v>27</v>
      </c>
      <c r="D9" s="188">
        <f>D10+D11</f>
        <v>6677.65</v>
      </c>
      <c r="E9" s="188"/>
      <c r="F9" s="184">
        <v>6672.72</v>
      </c>
      <c r="G9" s="7">
        <f>D9-F9</f>
        <v>4.93</v>
      </c>
      <c r="H9" s="184"/>
      <c r="I9" s="103"/>
    </row>
    <row r="10" spans="1:40" ht="18" customHeight="1" x14ac:dyDescent="0.25">
      <c r="A10" s="102" t="s">
        <v>124</v>
      </c>
      <c r="B10" s="1"/>
      <c r="C10" s="7" t="s">
        <v>27</v>
      </c>
      <c r="D10" s="7">
        <v>6444</v>
      </c>
      <c r="E10" s="7"/>
      <c r="F10" s="1"/>
      <c r="G10" s="1"/>
      <c r="H10" s="1"/>
      <c r="I10" s="103"/>
    </row>
    <row r="11" spans="1:40" ht="18" customHeight="1" thickBot="1" x14ac:dyDescent="0.3">
      <c r="A11" s="178" t="s">
        <v>125</v>
      </c>
      <c r="B11" s="179"/>
      <c r="C11" s="180" t="s">
        <v>27</v>
      </c>
      <c r="D11" s="180">
        <v>233.65</v>
      </c>
      <c r="E11" s="180"/>
      <c r="F11" s="179"/>
      <c r="G11" s="179"/>
      <c r="H11" s="179"/>
      <c r="I11" s="181"/>
    </row>
    <row r="12" spans="1:40" ht="32.25" customHeight="1" thickBot="1" x14ac:dyDescent="0.3"/>
    <row r="13" spans="1:40" ht="41.25" customHeight="1" x14ac:dyDescent="0.25">
      <c r="A13" s="95"/>
      <c r="B13" s="96"/>
      <c r="C13" s="177" t="s">
        <v>76</v>
      </c>
      <c r="D13" s="177" t="s">
        <v>126</v>
      </c>
      <c r="E13" s="177" t="s">
        <v>127</v>
      </c>
      <c r="F13" s="177" t="s">
        <v>72</v>
      </c>
      <c r="G13" s="177" t="s">
        <v>128</v>
      </c>
      <c r="H13" s="177" t="s">
        <v>129</v>
      </c>
      <c r="I13" s="192" t="s">
        <v>75</v>
      </c>
      <c r="J13" s="192" t="s">
        <v>78</v>
      </c>
      <c r="K13" s="192" t="s">
        <v>136</v>
      </c>
      <c r="L13" s="246" t="s">
        <v>78</v>
      </c>
      <c r="M13" s="245"/>
      <c r="N13" s="200" t="s">
        <v>130</v>
      </c>
      <c r="O13" s="201" t="s">
        <v>131</v>
      </c>
      <c r="P13" s="197"/>
      <c r="Q13" s="197"/>
      <c r="S13" s="200" t="s">
        <v>130</v>
      </c>
      <c r="T13" s="197"/>
      <c r="U13" s="201" t="s">
        <v>131</v>
      </c>
      <c r="V13" s="197"/>
      <c r="X13" s="200" t="s">
        <v>130</v>
      </c>
      <c r="Y13" s="201" t="s">
        <v>131</v>
      </c>
      <c r="Z13" s="197"/>
      <c r="AA13" s="197"/>
      <c r="AC13" s="200" t="s">
        <v>130</v>
      </c>
      <c r="AD13" s="197"/>
      <c r="AE13" s="197"/>
      <c r="AF13" s="201" t="s">
        <v>131</v>
      </c>
      <c r="AG13" s="197"/>
      <c r="AI13" s="200" t="s">
        <v>130</v>
      </c>
      <c r="AJ13" s="197"/>
      <c r="AK13" s="197"/>
      <c r="AL13" s="201" t="s">
        <v>131</v>
      </c>
      <c r="AM13" s="197"/>
      <c r="AN13" s="197"/>
    </row>
    <row r="14" spans="1:40" ht="18" customHeight="1" thickBot="1" x14ac:dyDescent="0.35">
      <c r="A14" s="178"/>
      <c r="B14" s="179"/>
      <c r="C14" s="179" t="s">
        <v>27</v>
      </c>
      <c r="D14" s="179"/>
      <c r="E14" s="179"/>
      <c r="F14" s="179" t="s">
        <v>77</v>
      </c>
      <c r="G14" s="179"/>
      <c r="H14" s="179"/>
      <c r="I14" s="193" t="s">
        <v>25</v>
      </c>
      <c r="J14" s="193" t="s">
        <v>25</v>
      </c>
      <c r="K14" s="193" t="s">
        <v>25</v>
      </c>
      <c r="L14" s="181" t="s">
        <v>25</v>
      </c>
      <c r="M14" s="245"/>
      <c r="N14" s="202">
        <f>AVERAGE(N15:N22)</f>
        <v>10.195714285714301</v>
      </c>
      <c r="O14" s="203">
        <f>AVERAGE(O15:Q22)</f>
        <v>9.81</v>
      </c>
      <c r="P14" s="137" t="s">
        <v>132</v>
      </c>
      <c r="Q14" s="137" t="s">
        <v>132</v>
      </c>
      <c r="S14" s="202">
        <f>AVERAGE(S15:T22)</f>
        <v>10.46625</v>
      </c>
      <c r="T14" s="137" t="s">
        <v>132</v>
      </c>
      <c r="U14" s="203">
        <f>AVERAGE(U15:V22)</f>
        <v>10.38</v>
      </c>
      <c r="V14" s="137" t="s">
        <v>132</v>
      </c>
      <c r="X14" s="202">
        <f>AVERAGE(X15:X22)</f>
        <v>10.3357142857143</v>
      </c>
      <c r="Y14" s="203">
        <f>AVERAGE(Y15:AA22)</f>
        <v>10.050000000000001</v>
      </c>
      <c r="Z14" s="137" t="s">
        <v>132</v>
      </c>
      <c r="AA14" s="137" t="s">
        <v>132</v>
      </c>
      <c r="AC14" s="202">
        <f>AVERAGE(AC15:AE22)</f>
        <v>10.27</v>
      </c>
      <c r="AD14" s="137" t="s">
        <v>132</v>
      </c>
      <c r="AE14" s="137" t="s">
        <v>132</v>
      </c>
      <c r="AF14" s="203">
        <f>AVERAGE(AF15:AG22)</f>
        <v>10.38</v>
      </c>
      <c r="AG14" s="137" t="s">
        <v>132</v>
      </c>
      <c r="AI14" s="202">
        <f>AVERAGE(AI15:AK22)</f>
        <v>10.706666666666701</v>
      </c>
      <c r="AJ14" s="137" t="s">
        <v>132</v>
      </c>
      <c r="AK14" s="137" t="s">
        <v>132</v>
      </c>
      <c r="AL14" s="203">
        <f>AVERAGE(AL15:AN22)</f>
        <v>10.74</v>
      </c>
      <c r="AM14" s="137" t="s">
        <v>132</v>
      </c>
      <c r="AN14" s="137" t="s">
        <v>132</v>
      </c>
    </row>
    <row r="15" spans="1:40" x14ac:dyDescent="0.25">
      <c r="A15" s="95" t="s">
        <v>0</v>
      </c>
      <c r="B15" s="96" t="s">
        <v>1</v>
      </c>
      <c r="C15" s="97">
        <f>853.25+559.26</f>
        <v>1412.51</v>
      </c>
      <c r="D15" s="198">
        <f>N14</f>
        <v>10.199999999999999</v>
      </c>
      <c r="E15" s="195">
        <f>O14</f>
        <v>9.81</v>
      </c>
      <c r="F15" s="97">
        <f>0.05+0.11+0.38+0.45+0.51</f>
        <v>1.5</v>
      </c>
      <c r="G15" s="97">
        <f>E15-F15</f>
        <v>8.31</v>
      </c>
      <c r="H15" s="97">
        <f>D15-G15</f>
        <v>1.89</v>
      </c>
      <c r="I15" s="99">
        <f>H15*C15</f>
        <v>2669.64</v>
      </c>
      <c r="J15" s="100"/>
      <c r="K15" s="100"/>
      <c r="L15" s="101"/>
      <c r="N15" s="137">
        <v>9.43</v>
      </c>
      <c r="O15" s="137">
        <v>10.53</v>
      </c>
      <c r="P15" s="137">
        <v>9.9499999999999993</v>
      </c>
      <c r="Q15" s="137">
        <v>9.31</v>
      </c>
      <c r="S15" s="137">
        <v>10.63</v>
      </c>
      <c r="T15" s="137">
        <v>10.44</v>
      </c>
      <c r="U15" s="137">
        <v>10.65</v>
      </c>
      <c r="V15" s="137">
        <v>10.36</v>
      </c>
      <c r="X15" s="137">
        <v>10.09</v>
      </c>
      <c r="Y15" s="137">
        <v>10.130000000000001</v>
      </c>
      <c r="Z15" s="137">
        <v>10.1</v>
      </c>
      <c r="AA15" s="137">
        <v>10.050000000000001</v>
      </c>
      <c r="AC15" s="137">
        <v>10.07</v>
      </c>
      <c r="AD15" s="137">
        <v>10.14</v>
      </c>
      <c r="AE15" s="137">
        <v>10.16</v>
      </c>
      <c r="AF15" s="137">
        <v>10.61</v>
      </c>
      <c r="AG15" s="137">
        <v>10.11</v>
      </c>
      <c r="AI15" s="137">
        <v>11.34</v>
      </c>
      <c r="AJ15" s="137">
        <v>10.83</v>
      </c>
      <c r="AK15" s="137">
        <v>10.84</v>
      </c>
      <c r="AL15" s="137">
        <v>10.51</v>
      </c>
      <c r="AM15" s="137">
        <v>10.81</v>
      </c>
      <c r="AN15" s="137">
        <v>10.78</v>
      </c>
    </row>
    <row r="16" spans="1:40" x14ac:dyDescent="0.25">
      <c r="A16" s="102">
        <f>D2</f>
        <v>8278.41</v>
      </c>
      <c r="B16" s="1" t="s">
        <v>1</v>
      </c>
      <c r="C16" s="7">
        <v>1894.08</v>
      </c>
      <c r="D16" s="199">
        <f>S14</f>
        <v>10.47</v>
      </c>
      <c r="E16" s="196">
        <f>U14</f>
        <v>10.38</v>
      </c>
      <c r="F16" s="1">
        <f>0.05+0.11+0.38+0.45+0.51</f>
        <v>1.5</v>
      </c>
      <c r="G16" s="7">
        <f>E16-F16</f>
        <v>8.8800000000000008</v>
      </c>
      <c r="H16" s="7">
        <f>D16-G16</f>
        <v>1.59</v>
      </c>
      <c r="I16" s="83">
        <f>H16*C16</f>
        <v>3011.59</v>
      </c>
      <c r="J16" s="80"/>
      <c r="K16" s="80"/>
      <c r="L16" s="103"/>
      <c r="N16" s="137">
        <v>9.64</v>
      </c>
      <c r="O16" s="137">
        <v>10.65</v>
      </c>
      <c r="P16" s="137">
        <v>10.06</v>
      </c>
      <c r="Q16" s="137">
        <v>9.2899999999999991</v>
      </c>
      <c r="S16" s="137">
        <v>10.62</v>
      </c>
      <c r="T16" s="137">
        <v>10.31</v>
      </c>
      <c r="U16" s="137">
        <v>10.51</v>
      </c>
      <c r="V16" s="137">
        <v>10.26</v>
      </c>
      <c r="X16" s="137">
        <v>10.31</v>
      </c>
      <c r="Y16" s="137">
        <v>10.02</v>
      </c>
      <c r="Z16" s="137">
        <v>10</v>
      </c>
      <c r="AA16" s="137">
        <v>10.01</v>
      </c>
      <c r="AC16" s="137">
        <v>10.41</v>
      </c>
      <c r="AD16" s="137">
        <v>10.24</v>
      </c>
      <c r="AE16" s="137">
        <v>9.9499999999999993</v>
      </c>
      <c r="AF16" s="137">
        <v>10.51</v>
      </c>
      <c r="AG16" s="137">
        <v>10.23</v>
      </c>
      <c r="AI16" s="137">
        <v>10.52</v>
      </c>
      <c r="AJ16" s="137">
        <v>10.57</v>
      </c>
      <c r="AK16" s="137">
        <v>10.86</v>
      </c>
      <c r="AL16" s="137">
        <v>10.63</v>
      </c>
      <c r="AM16" s="137">
        <v>10.7</v>
      </c>
      <c r="AN16" s="137">
        <v>10.71</v>
      </c>
    </row>
    <row r="17" spans="1:67" x14ac:dyDescent="0.25">
      <c r="A17" s="194">
        <f>SUM(C15:C23)</f>
        <v>8278.39</v>
      </c>
      <c r="B17" s="1" t="s">
        <v>1</v>
      </c>
      <c r="C17" s="7">
        <v>1957.34</v>
      </c>
      <c r="D17" s="199">
        <f>X14</f>
        <v>10.34</v>
      </c>
      <c r="E17" s="196">
        <f>Y14</f>
        <v>10.050000000000001</v>
      </c>
      <c r="F17" s="1">
        <f>0.05+0.11+0.38+0.45+0.51</f>
        <v>1.5</v>
      </c>
      <c r="G17" s="7">
        <f>E17-F17</f>
        <v>8.5500000000000007</v>
      </c>
      <c r="H17" s="7">
        <f>D17-G17</f>
        <v>1.79</v>
      </c>
      <c r="I17" s="83">
        <f>H17*C17</f>
        <v>3503.64</v>
      </c>
      <c r="J17" s="80"/>
      <c r="K17" s="80"/>
      <c r="L17" s="103"/>
      <c r="N17" s="137">
        <v>10.25</v>
      </c>
      <c r="O17" s="137">
        <v>10.53</v>
      </c>
      <c r="P17" s="137">
        <v>9.7100000000000009</v>
      </c>
      <c r="Q17" s="137">
        <v>9.2100000000000009</v>
      </c>
      <c r="S17" s="137">
        <v>10.52</v>
      </c>
      <c r="T17" s="137">
        <v>10.3</v>
      </c>
      <c r="U17" s="137">
        <v>10.63</v>
      </c>
      <c r="V17" s="137">
        <v>10.210000000000001</v>
      </c>
      <c r="X17" s="137">
        <v>10.31</v>
      </c>
      <c r="Y17" s="137">
        <v>10.14</v>
      </c>
      <c r="Z17" s="137">
        <v>10.07</v>
      </c>
      <c r="AA17" s="137">
        <v>10.08</v>
      </c>
      <c r="AC17" s="137">
        <v>10.49</v>
      </c>
      <c r="AD17" s="137">
        <v>10.210000000000001</v>
      </c>
      <c r="AE17" s="137">
        <v>10.48</v>
      </c>
      <c r="AF17" s="137">
        <v>10.63</v>
      </c>
      <c r="AG17" s="137">
        <v>10.11</v>
      </c>
      <c r="AI17" s="137">
        <v>11.04</v>
      </c>
      <c r="AJ17" s="137">
        <v>11.02</v>
      </c>
      <c r="AK17" s="137"/>
      <c r="AL17" s="137">
        <v>10.51</v>
      </c>
      <c r="AM17" s="137">
        <v>10.82</v>
      </c>
      <c r="AN17" s="137">
        <v>10.9</v>
      </c>
    </row>
    <row r="18" spans="1:67" x14ac:dyDescent="0.25">
      <c r="A18" s="102"/>
      <c r="B18" s="1" t="s">
        <v>1</v>
      </c>
      <c r="C18" s="7">
        <v>1424.04</v>
      </c>
      <c r="D18" s="199">
        <f>AC14</f>
        <v>10.27</v>
      </c>
      <c r="E18" s="196">
        <f>AF14</f>
        <v>10.38</v>
      </c>
      <c r="F18" s="1">
        <f>0.05+0.11+0.38+0.45+0.51</f>
        <v>1.5</v>
      </c>
      <c r="G18" s="7">
        <f>E18-F18</f>
        <v>8.8800000000000008</v>
      </c>
      <c r="H18" s="7">
        <f>D18-G18</f>
        <v>1.39</v>
      </c>
      <c r="I18" s="83">
        <f>H18*C18</f>
        <v>1979.42</v>
      </c>
      <c r="J18" s="80"/>
      <c r="K18" s="80"/>
      <c r="L18" s="103"/>
      <c r="N18" s="137">
        <v>10.44</v>
      </c>
      <c r="O18" s="137">
        <v>10.58</v>
      </c>
      <c r="P18" s="137">
        <v>9.83</v>
      </c>
      <c r="Q18" s="137">
        <v>9.2200000000000006</v>
      </c>
      <c r="S18" s="137">
        <v>10.37</v>
      </c>
      <c r="T18" s="137">
        <v>10.58</v>
      </c>
      <c r="U18" s="137">
        <v>10.51</v>
      </c>
      <c r="V18" s="137">
        <v>10.33</v>
      </c>
      <c r="X18" s="137">
        <v>10.59</v>
      </c>
      <c r="Y18" s="137">
        <v>10.02</v>
      </c>
      <c r="Z18" s="137">
        <v>10.07</v>
      </c>
      <c r="AA18" s="137">
        <v>10.01</v>
      </c>
      <c r="AC18" s="137">
        <v>10.65</v>
      </c>
      <c r="AD18" s="137">
        <v>10.06</v>
      </c>
      <c r="AE18" s="137">
        <v>10.130000000000001</v>
      </c>
      <c r="AF18" s="137">
        <v>10.51</v>
      </c>
      <c r="AG18" s="137"/>
      <c r="AI18" s="137">
        <v>10.39</v>
      </c>
      <c r="AJ18" s="137">
        <v>10.68</v>
      </c>
      <c r="AK18" s="137"/>
      <c r="AL18" s="137">
        <v>10.61</v>
      </c>
      <c r="AM18" s="137">
        <v>10.7</v>
      </c>
      <c r="AN18" s="137">
        <v>10.71</v>
      </c>
    </row>
    <row r="19" spans="1:67" x14ac:dyDescent="0.25">
      <c r="A19" s="102"/>
      <c r="B19" s="1" t="s">
        <v>1</v>
      </c>
      <c r="C19" s="7">
        <v>1590.42</v>
      </c>
      <c r="D19" s="199">
        <f>AI14</f>
        <v>10.71</v>
      </c>
      <c r="E19" s="196">
        <f>AL14</f>
        <v>10.74</v>
      </c>
      <c r="F19" s="1">
        <f>0.05+0.11+0.38+0.45+0.51</f>
        <v>1.5</v>
      </c>
      <c r="G19" s="7">
        <f>E19-F19</f>
        <v>9.24</v>
      </c>
      <c r="H19" s="7">
        <f>D19-G19</f>
        <v>1.47</v>
      </c>
      <c r="I19" s="83">
        <f>H19*C19</f>
        <v>2337.92</v>
      </c>
      <c r="J19" s="80"/>
      <c r="K19" s="80"/>
      <c r="L19" s="103"/>
      <c r="N19" s="137">
        <v>10.54</v>
      </c>
      <c r="O19" s="137">
        <v>10.25</v>
      </c>
      <c r="P19" s="137">
        <v>9.7100000000000009</v>
      </c>
      <c r="Q19" s="137">
        <v>9.2799999999999994</v>
      </c>
      <c r="S19" s="137">
        <v>10.53</v>
      </c>
      <c r="T19" s="137">
        <v>10.54</v>
      </c>
      <c r="U19" s="137">
        <v>10.46</v>
      </c>
      <c r="V19" s="137">
        <v>10.32</v>
      </c>
      <c r="X19" s="137">
        <v>10.43</v>
      </c>
      <c r="Y19" s="137">
        <v>9.9600000000000009</v>
      </c>
      <c r="Z19" s="137">
        <v>10</v>
      </c>
      <c r="AA19" s="137">
        <v>10.11</v>
      </c>
      <c r="AC19" s="137">
        <v>10.63</v>
      </c>
      <c r="AD19" s="137">
        <v>10.33</v>
      </c>
      <c r="AE19" s="137">
        <v>10.08</v>
      </c>
      <c r="AF19" s="137">
        <v>10.41</v>
      </c>
      <c r="AG19" s="137"/>
      <c r="AI19" s="137">
        <v>10.210000000000001</v>
      </c>
      <c r="AJ19" s="137">
        <v>10.78</v>
      </c>
      <c r="AK19" s="137"/>
      <c r="AL19" s="137">
        <v>10.69</v>
      </c>
      <c r="AM19" s="137">
        <v>10.79</v>
      </c>
      <c r="AN19" s="137">
        <v>10.78</v>
      </c>
    </row>
    <row r="20" spans="1:67" x14ac:dyDescent="0.25">
      <c r="A20" s="102"/>
      <c r="B20" s="1"/>
      <c r="C20" s="7"/>
      <c r="D20" s="77"/>
      <c r="E20" s="7"/>
      <c r="F20" s="1"/>
      <c r="G20" s="7"/>
      <c r="H20" s="7"/>
      <c r="I20" s="83"/>
      <c r="J20" s="80"/>
      <c r="K20" s="80"/>
      <c r="L20" s="103"/>
      <c r="N20" s="137">
        <v>10.51</v>
      </c>
      <c r="O20" s="137">
        <v>10.23</v>
      </c>
      <c r="P20" s="137">
        <v>9.4700000000000006</v>
      </c>
      <c r="Q20" s="137">
        <v>9.41</v>
      </c>
      <c r="S20" s="137">
        <v>10.54</v>
      </c>
      <c r="T20" s="137">
        <v>10.43</v>
      </c>
      <c r="U20" s="137">
        <v>10.36</v>
      </c>
      <c r="V20" s="137">
        <v>10.28</v>
      </c>
      <c r="X20" s="137">
        <v>10.46</v>
      </c>
      <c r="Y20" s="137">
        <v>10.09</v>
      </c>
      <c r="Z20" s="137">
        <v>9.94</v>
      </c>
      <c r="AA20" s="137">
        <v>10.11</v>
      </c>
      <c r="AC20" s="137">
        <v>10.51</v>
      </c>
      <c r="AD20" s="137">
        <v>10.1</v>
      </c>
      <c r="AE20" s="137">
        <v>10.32</v>
      </c>
      <c r="AF20" s="137">
        <v>10.31</v>
      </c>
      <c r="AG20" s="137"/>
      <c r="AI20" s="137">
        <v>10.64</v>
      </c>
      <c r="AJ20" s="137">
        <v>10.76</v>
      </c>
      <c r="AK20" s="137"/>
      <c r="AL20" s="137">
        <v>10.81</v>
      </c>
      <c r="AM20" s="137">
        <v>10.88</v>
      </c>
      <c r="AN20" s="137">
        <v>10.73</v>
      </c>
    </row>
    <row r="21" spans="1:67" x14ac:dyDescent="0.25">
      <c r="A21" s="102"/>
      <c r="B21" s="1"/>
      <c r="C21" s="7"/>
      <c r="D21" s="77"/>
      <c r="E21" s="7"/>
      <c r="F21" s="1"/>
      <c r="G21" s="7"/>
      <c r="H21" s="7"/>
      <c r="I21" s="83"/>
      <c r="J21" s="80"/>
      <c r="K21" s="80"/>
      <c r="L21" s="103"/>
      <c r="N21" s="137">
        <v>10.56</v>
      </c>
      <c r="O21" s="137">
        <v>10.130000000000001</v>
      </c>
      <c r="P21" s="137">
        <v>9.6199999999999992</v>
      </c>
      <c r="Q21" s="137">
        <v>9.34</v>
      </c>
      <c r="S21" s="137">
        <v>10.39</v>
      </c>
      <c r="T21" s="137">
        <v>10.44</v>
      </c>
      <c r="U21" s="137">
        <v>10.36</v>
      </c>
      <c r="V21" s="137">
        <v>10.28</v>
      </c>
      <c r="X21" s="137">
        <v>10.16</v>
      </c>
      <c r="Y21" s="137">
        <v>9.9600000000000009</v>
      </c>
      <c r="Z21" s="137">
        <v>10.06</v>
      </c>
      <c r="AA21" s="137">
        <v>10.23</v>
      </c>
      <c r="AC21" s="137">
        <v>10.41</v>
      </c>
      <c r="AD21" s="137">
        <v>9.94</v>
      </c>
      <c r="AE21" s="137">
        <v>10.44</v>
      </c>
      <c r="AF21" s="137">
        <v>10.43</v>
      </c>
      <c r="AG21" s="137"/>
      <c r="AI21" s="137">
        <v>10.43</v>
      </c>
      <c r="AJ21" s="137">
        <v>10.73</v>
      </c>
      <c r="AK21" s="137"/>
      <c r="AL21" s="137">
        <v>10.69</v>
      </c>
      <c r="AM21" s="137">
        <v>10.79</v>
      </c>
      <c r="AN21" s="137">
        <v>10.9</v>
      </c>
    </row>
    <row r="22" spans="1:67" x14ac:dyDescent="0.25">
      <c r="A22" s="204"/>
      <c r="B22" s="85"/>
      <c r="C22" s="117"/>
      <c r="D22" s="118"/>
      <c r="E22" s="117"/>
      <c r="F22" s="85"/>
      <c r="G22" s="7"/>
      <c r="H22" s="7"/>
      <c r="I22" s="119"/>
      <c r="J22" s="86"/>
      <c r="K22" s="86"/>
      <c r="L22" s="205"/>
      <c r="N22" s="137"/>
      <c r="O22" s="137">
        <v>10.07</v>
      </c>
      <c r="P22" s="137">
        <v>9.31</v>
      </c>
      <c r="Q22" s="137"/>
      <c r="S22" s="137">
        <v>10.42</v>
      </c>
      <c r="T22" s="137">
        <v>10.4</v>
      </c>
      <c r="U22" s="137">
        <v>10.38</v>
      </c>
      <c r="V22" s="137">
        <v>10.16</v>
      </c>
      <c r="X22" s="137"/>
      <c r="Y22" s="137">
        <v>10.06</v>
      </c>
      <c r="Z22" s="137">
        <v>9.94</v>
      </c>
      <c r="AA22" s="137">
        <v>10.11</v>
      </c>
      <c r="AC22" s="137">
        <v>10.33</v>
      </c>
      <c r="AD22" s="137">
        <v>9.98</v>
      </c>
      <c r="AE22" s="137">
        <v>10.42</v>
      </c>
      <c r="AF22" s="137">
        <v>10.31</v>
      </c>
      <c r="AG22" s="137"/>
      <c r="AI22" s="137">
        <v>10.36</v>
      </c>
      <c r="AJ22" s="137">
        <v>10.72</v>
      </c>
      <c r="AK22" s="137"/>
      <c r="AL22" s="137">
        <v>10.79</v>
      </c>
      <c r="AM22" s="137">
        <v>10.88</v>
      </c>
      <c r="AN22" s="137">
        <v>10.73</v>
      </c>
    </row>
    <row r="23" spans="1:67" ht="15.75" thickBot="1" x14ac:dyDescent="0.3">
      <c r="A23" s="206"/>
      <c r="B23" s="207"/>
      <c r="C23" s="208"/>
      <c r="D23" s="209"/>
      <c r="E23" s="208"/>
      <c r="F23" s="207"/>
      <c r="G23" s="208"/>
      <c r="H23" s="208"/>
      <c r="I23" s="210"/>
      <c r="J23" s="211"/>
      <c r="K23" s="254">
        <f>SUM(I15:I23)</f>
        <v>13502.21</v>
      </c>
      <c r="L23" s="253">
        <f>SUM(J15:J23)*(-1)</f>
        <v>0</v>
      </c>
      <c r="S23" s="244"/>
    </row>
    <row r="24" spans="1:67" ht="60.75" thickTop="1" x14ac:dyDescent="0.25">
      <c r="A24" s="95" t="s">
        <v>113</v>
      </c>
      <c r="B24" s="96" t="s">
        <v>67</v>
      </c>
      <c r="C24" s="97">
        <v>50.79</v>
      </c>
      <c r="D24" s="198">
        <f>N25</f>
        <v>10.56</v>
      </c>
      <c r="E24" s="195">
        <f>P25</f>
        <v>10.45</v>
      </c>
      <c r="F24" s="97">
        <f>0.05+0.08+0.33+0.35+0.69</f>
        <v>1.5</v>
      </c>
      <c r="G24" s="97">
        <f>E24-F24</f>
        <v>8.9499999999999993</v>
      </c>
      <c r="H24" s="97">
        <f>D24-G24</f>
        <v>1.61</v>
      </c>
      <c r="I24" s="99">
        <f>H24*C24</f>
        <v>81.77</v>
      </c>
      <c r="J24" s="100"/>
      <c r="K24" s="99"/>
      <c r="L24" s="101"/>
      <c r="N24" s="200" t="s">
        <v>133</v>
      </c>
      <c r="O24" s="197"/>
      <c r="P24" s="201" t="s">
        <v>134</v>
      </c>
      <c r="Q24" s="197"/>
      <c r="R24" s="197"/>
      <c r="S24" s="197"/>
    </row>
    <row r="25" spans="1:67" ht="31.5" customHeight="1" x14ac:dyDescent="0.3">
      <c r="A25" s="102">
        <f>D3</f>
        <v>50.79</v>
      </c>
      <c r="B25" s="1"/>
      <c r="C25" s="7"/>
      <c r="D25" s="199"/>
      <c r="E25" s="196"/>
      <c r="F25" s="1"/>
      <c r="G25" s="7"/>
      <c r="H25" s="7"/>
      <c r="I25" s="83"/>
      <c r="J25" s="80"/>
      <c r="K25" s="83"/>
      <c r="L25" s="103"/>
      <c r="N25" s="202">
        <f>AVERAGE(N26:O26)</f>
        <v>10.56</v>
      </c>
      <c r="O25" s="137" t="s">
        <v>132</v>
      </c>
      <c r="P25" s="203">
        <f>AVERAGE(P26:S26)</f>
        <v>10.45</v>
      </c>
      <c r="Q25" s="137" t="s">
        <v>132</v>
      </c>
      <c r="R25" s="137" t="s">
        <v>132</v>
      </c>
      <c r="S25" s="137" t="s">
        <v>132</v>
      </c>
    </row>
    <row r="26" spans="1:67" ht="15.75" thickBot="1" x14ac:dyDescent="0.3">
      <c r="A26" s="214">
        <f>SUM(C24:C26)</f>
        <v>50.79</v>
      </c>
      <c r="B26" s="108"/>
      <c r="C26" s="109"/>
      <c r="D26" s="215"/>
      <c r="E26" s="216"/>
      <c r="F26" s="108"/>
      <c r="G26" s="109"/>
      <c r="H26" s="109"/>
      <c r="I26" s="111"/>
      <c r="J26" s="112"/>
      <c r="K26" s="111">
        <f>SUM(I24:I26)</f>
        <v>81.77</v>
      </c>
      <c r="L26" s="113">
        <f>SUM(J24:J26)*(-1)</f>
        <v>0</v>
      </c>
      <c r="N26" s="137">
        <v>10.58</v>
      </c>
      <c r="O26" s="137">
        <v>10.54</v>
      </c>
      <c r="P26" s="137">
        <v>10.46</v>
      </c>
      <c r="Q26" s="137">
        <v>10.4</v>
      </c>
      <c r="R26" s="137">
        <v>10.5</v>
      </c>
      <c r="S26" s="137">
        <v>10.44</v>
      </c>
    </row>
    <row r="27" spans="1:67" ht="30.75" thickTop="1" x14ac:dyDescent="0.25">
      <c r="A27" s="105" t="s">
        <v>114</v>
      </c>
      <c r="B27" s="89" t="s">
        <v>7</v>
      </c>
      <c r="C27" s="90">
        <f>668.74+64.18</f>
        <v>732.92</v>
      </c>
      <c r="D27" s="212">
        <f>N29</f>
        <v>10.08</v>
      </c>
      <c r="E27" s="213">
        <f>P29</f>
        <v>10.08</v>
      </c>
      <c r="F27" s="90">
        <f>0.04+0.05+0.34+0.8</f>
        <v>1.23</v>
      </c>
      <c r="G27" s="90">
        <f>E27-F27</f>
        <v>8.85</v>
      </c>
      <c r="H27" s="7">
        <f>D27-G27</f>
        <v>1.23</v>
      </c>
      <c r="I27" s="99">
        <f>H27*C27</f>
        <v>901.49</v>
      </c>
      <c r="J27" s="93"/>
      <c r="K27" s="99"/>
      <c r="L27" s="106"/>
    </row>
    <row r="28" spans="1:67" ht="60" x14ac:dyDescent="0.25">
      <c r="A28" s="102">
        <f>D4</f>
        <v>4626.4399999999996</v>
      </c>
      <c r="B28" s="89" t="s">
        <v>7</v>
      </c>
      <c r="C28" s="7">
        <v>1105.01</v>
      </c>
      <c r="D28" s="199">
        <f>T29</f>
        <v>10.31</v>
      </c>
      <c r="E28" s="196">
        <f>W29</f>
        <v>10.65</v>
      </c>
      <c r="F28" s="90">
        <f t="shared" ref="F28:F37" si="0">0.04+0.05+0.34+0.8</f>
        <v>1.23</v>
      </c>
      <c r="G28" s="7">
        <f>E28-F28</f>
        <v>9.42</v>
      </c>
      <c r="H28" s="7">
        <f>D28-G28</f>
        <v>0.89</v>
      </c>
      <c r="I28" s="83">
        <f>H28*C28</f>
        <v>983.46</v>
      </c>
      <c r="J28" s="80"/>
      <c r="K28" s="83"/>
      <c r="L28" s="103"/>
      <c r="N28" s="200" t="s">
        <v>137</v>
      </c>
      <c r="O28" s="197"/>
      <c r="P28" s="201" t="s">
        <v>138</v>
      </c>
      <c r="Q28" s="197"/>
      <c r="R28" s="197"/>
      <c r="T28" s="200" t="s">
        <v>137</v>
      </c>
      <c r="U28" s="197"/>
      <c r="V28" s="197"/>
      <c r="W28" s="201" t="s">
        <v>138</v>
      </c>
      <c r="X28" s="197"/>
      <c r="Y28" s="197"/>
      <c r="Z28" s="197"/>
      <c r="AA28" s="197"/>
      <c r="AC28" s="200" t="s">
        <v>137</v>
      </c>
      <c r="AD28" s="197"/>
      <c r="AE28" s="197"/>
      <c r="AF28" s="201" t="s">
        <v>138</v>
      </c>
      <c r="AG28" s="197"/>
      <c r="AH28" s="197"/>
      <c r="AJ28" s="200" t="s">
        <v>137</v>
      </c>
      <c r="AK28" s="197"/>
      <c r="AL28" s="201" t="s">
        <v>138</v>
      </c>
      <c r="AM28" s="197"/>
      <c r="AN28" s="197"/>
      <c r="AP28" s="200" t="s">
        <v>137</v>
      </c>
      <c r="AQ28" s="201" t="s">
        <v>138</v>
      </c>
      <c r="AR28" s="197"/>
      <c r="AT28" s="200" t="s">
        <v>137</v>
      </c>
      <c r="AU28" s="201" t="s">
        <v>138</v>
      </c>
      <c r="AW28" s="200" t="s">
        <v>137</v>
      </c>
      <c r="AX28" s="197"/>
      <c r="AY28" s="201" t="s">
        <v>138</v>
      </c>
      <c r="AZ28" s="197"/>
      <c r="BA28" s="197"/>
      <c r="BC28" s="200" t="s">
        <v>137</v>
      </c>
      <c r="BD28" s="201" t="s">
        <v>138</v>
      </c>
      <c r="BE28" s="197"/>
      <c r="BG28" s="200" t="s">
        <v>137</v>
      </c>
      <c r="BH28" s="197"/>
      <c r="BI28" s="201" t="s">
        <v>138</v>
      </c>
      <c r="BK28" s="200" t="s">
        <v>137</v>
      </c>
      <c r="BL28" s="201" t="s">
        <v>138</v>
      </c>
      <c r="BN28" s="200" t="s">
        <v>137</v>
      </c>
      <c r="BO28" s="201" t="s">
        <v>138</v>
      </c>
    </row>
    <row r="29" spans="1:67" ht="18.75" x14ac:dyDescent="0.3">
      <c r="A29" s="194">
        <f>SUM(C27:C38)</f>
        <v>4626.43</v>
      </c>
      <c r="B29" s="89" t="s">
        <v>7</v>
      </c>
      <c r="C29" s="7">
        <v>802.89</v>
      </c>
      <c r="D29" s="199">
        <f>AC29</f>
        <v>10.199999999999999</v>
      </c>
      <c r="E29" s="196">
        <f>AF29</f>
        <v>10.64</v>
      </c>
      <c r="F29" s="90">
        <f t="shared" si="0"/>
        <v>1.23</v>
      </c>
      <c r="G29" s="7">
        <f>E29-F29</f>
        <v>9.41</v>
      </c>
      <c r="H29" s="7">
        <f>D29-G29</f>
        <v>0.79</v>
      </c>
      <c r="I29" s="83">
        <f>H29*C29</f>
        <v>634.28</v>
      </c>
      <c r="J29" s="80"/>
      <c r="K29" s="83"/>
      <c r="L29" s="103"/>
      <c r="N29" s="202">
        <f>AVERAGE(N30:O37)</f>
        <v>10.080909090909101</v>
      </c>
      <c r="O29" s="137" t="s">
        <v>132</v>
      </c>
      <c r="P29" s="203">
        <f>AVERAGE(P30:R37)</f>
        <v>10.08</v>
      </c>
      <c r="Q29" s="137" t="s">
        <v>132</v>
      </c>
      <c r="R29" s="137" t="s">
        <v>132</v>
      </c>
      <c r="T29" s="202">
        <f>AVERAGE(T30:V37)</f>
        <v>10.307</v>
      </c>
      <c r="U29" s="137" t="s">
        <v>132</v>
      </c>
      <c r="V29" s="137" t="s">
        <v>132</v>
      </c>
      <c r="W29" s="203">
        <f>AVERAGE(W30:AA37)</f>
        <v>10.65</v>
      </c>
      <c r="X29" s="137" t="s">
        <v>132</v>
      </c>
      <c r="Y29" s="137" t="s">
        <v>132</v>
      </c>
      <c r="Z29" s="137" t="s">
        <v>132</v>
      </c>
      <c r="AA29" s="137" t="s">
        <v>132</v>
      </c>
      <c r="AC29" s="202">
        <f>AVERAGE(AC30:AE37)</f>
        <v>10.1983333333333</v>
      </c>
      <c r="AD29" s="137" t="s">
        <v>132</v>
      </c>
      <c r="AE29" s="137" t="s">
        <v>132</v>
      </c>
      <c r="AF29" s="203">
        <f>AVERAGE(AF30:AH37)</f>
        <v>10.64</v>
      </c>
      <c r="AG29" s="137" t="s">
        <v>132</v>
      </c>
      <c r="AH29" s="137" t="s">
        <v>132</v>
      </c>
      <c r="AI29" t="s">
        <v>132</v>
      </c>
      <c r="AJ29" s="202">
        <f>AVERAGE(AJ30:AK37)</f>
        <v>10.753</v>
      </c>
      <c r="AK29" s="137" t="s">
        <v>132</v>
      </c>
      <c r="AL29" s="203">
        <f>AVERAGE(AL30:AN37)</f>
        <v>11.22</v>
      </c>
      <c r="AM29" s="137" t="s">
        <v>132</v>
      </c>
      <c r="AN29" s="137" t="s">
        <v>132</v>
      </c>
      <c r="AP29" s="202">
        <f>AVERAGE(AP30:AP37)</f>
        <v>10.064285714285701</v>
      </c>
      <c r="AQ29" s="203">
        <f>AVERAGE(AQ30:AR37)</f>
        <v>10.17</v>
      </c>
      <c r="AR29" s="137" t="s">
        <v>132</v>
      </c>
      <c r="AT29" s="202">
        <f>AVERAGE(AT30:AT37)</f>
        <v>10.49</v>
      </c>
      <c r="AU29" s="203">
        <f>AVERAGE(AU30:AU37)</f>
        <v>10.5</v>
      </c>
      <c r="AW29" s="202">
        <f>AVERAGE(AW30:AX37)</f>
        <v>10.353125</v>
      </c>
      <c r="AX29" s="137" t="s">
        <v>132</v>
      </c>
      <c r="AY29" s="203">
        <f>AVERAGE(AY30:BA37)</f>
        <v>10.38</v>
      </c>
      <c r="AZ29" s="137" t="s">
        <v>132</v>
      </c>
      <c r="BA29" s="137" t="s">
        <v>132</v>
      </c>
      <c r="BC29" s="202">
        <f>AVERAGE(BC30:BC37)</f>
        <v>10.498571428571401</v>
      </c>
      <c r="BD29" s="203">
        <f>AVERAGE(BD30:BE37)</f>
        <v>10.86</v>
      </c>
      <c r="BE29" s="137" t="s">
        <v>132</v>
      </c>
      <c r="BG29" s="202">
        <f>AVERAGE(BG30:BH37)</f>
        <v>9.43333333333333</v>
      </c>
      <c r="BH29" s="137" t="s">
        <v>132</v>
      </c>
      <c r="BI29" s="203">
        <f>AVERAGE(BI30:BI37)</f>
        <v>9.41</v>
      </c>
      <c r="BK29" s="202">
        <f>AVERAGE(BK30:BK37)</f>
        <v>9.5225000000000009</v>
      </c>
      <c r="BL29" s="203">
        <f>AVERAGE(BL30:BL37)</f>
        <v>9.51</v>
      </c>
      <c r="BN29" s="202">
        <f>AVERAGE(BN30:BN37)</f>
        <v>9.2850000000000001</v>
      </c>
      <c r="BO29" s="203">
        <f>BL29</f>
        <v>9.51</v>
      </c>
    </row>
    <row r="30" spans="1:67" x14ac:dyDescent="0.25">
      <c r="A30" s="102"/>
      <c r="B30" s="89" t="s">
        <v>7</v>
      </c>
      <c r="C30" s="7">
        <v>470.82</v>
      </c>
      <c r="D30" s="199">
        <f>AJ29</f>
        <v>10.75</v>
      </c>
      <c r="E30" s="196">
        <f>AL29</f>
        <v>11.22</v>
      </c>
      <c r="F30" s="90">
        <f t="shared" si="0"/>
        <v>1.23</v>
      </c>
      <c r="G30" s="7">
        <f>E30-F30</f>
        <v>9.99</v>
      </c>
      <c r="H30" s="7">
        <f>D30-G30</f>
        <v>0.76</v>
      </c>
      <c r="I30" s="83">
        <f>H30*C30</f>
        <v>357.82</v>
      </c>
      <c r="J30" s="80"/>
      <c r="K30" s="83"/>
      <c r="L30" s="103"/>
      <c r="N30" s="137">
        <v>9.65</v>
      </c>
      <c r="O30" s="137">
        <v>10.46</v>
      </c>
      <c r="P30" s="137">
        <v>9.4</v>
      </c>
      <c r="Q30" s="137">
        <v>10.08</v>
      </c>
      <c r="R30" s="137">
        <v>10.53</v>
      </c>
      <c r="T30" s="137">
        <v>10.65</v>
      </c>
      <c r="U30" s="137">
        <v>10.26</v>
      </c>
      <c r="V30" s="137">
        <v>9.89</v>
      </c>
      <c r="W30" s="137">
        <v>10.68</v>
      </c>
      <c r="X30" s="137">
        <v>10.91</v>
      </c>
      <c r="Y30" s="137">
        <v>10.68</v>
      </c>
      <c r="Z30" s="137">
        <v>10.53</v>
      </c>
      <c r="AA30" s="137">
        <v>10.36</v>
      </c>
      <c r="AC30" s="137">
        <v>10.09</v>
      </c>
      <c r="AD30" s="137">
        <v>10.02</v>
      </c>
      <c r="AE30" s="137">
        <v>10.55</v>
      </c>
      <c r="AF30" s="137">
        <v>10.52</v>
      </c>
      <c r="AG30" s="137">
        <v>10.44</v>
      </c>
      <c r="AH30" s="137">
        <v>11.04</v>
      </c>
      <c r="AJ30" s="137">
        <v>10.8</v>
      </c>
      <c r="AK30" s="137">
        <v>10.84</v>
      </c>
      <c r="AL30" s="137">
        <v>11.08</v>
      </c>
      <c r="AM30" s="137">
        <v>11.19</v>
      </c>
      <c r="AN30" s="137">
        <v>11.23</v>
      </c>
      <c r="AP30" s="137">
        <v>9.57</v>
      </c>
      <c r="AQ30" s="137">
        <v>9.2799999999999994</v>
      </c>
      <c r="AR30" s="137">
        <v>10.34</v>
      </c>
      <c r="AT30" s="137">
        <v>10.51</v>
      </c>
      <c r="AU30" s="137">
        <v>10.6</v>
      </c>
      <c r="AW30" s="137">
        <v>10.43</v>
      </c>
      <c r="AX30" s="137">
        <v>9.93</v>
      </c>
      <c r="AY30" s="137">
        <v>10.47</v>
      </c>
      <c r="AZ30" s="137">
        <v>10.41</v>
      </c>
      <c r="BA30" s="137">
        <v>10.35</v>
      </c>
      <c r="BC30" s="137">
        <v>10.14</v>
      </c>
      <c r="BD30" s="137">
        <v>10.55</v>
      </c>
      <c r="BE30" s="137">
        <v>11.01</v>
      </c>
      <c r="BG30" s="137">
        <v>9.57</v>
      </c>
      <c r="BH30" s="137">
        <v>9.36</v>
      </c>
      <c r="BI30" s="137">
        <v>9.41</v>
      </c>
      <c r="BK30" s="137">
        <v>9.31</v>
      </c>
      <c r="BL30" s="137">
        <v>9.4</v>
      </c>
      <c r="BN30" s="137">
        <v>9.2799999999999994</v>
      </c>
      <c r="BO30" s="137"/>
    </row>
    <row r="31" spans="1:67" x14ac:dyDescent="0.25">
      <c r="A31" s="102"/>
      <c r="B31" s="89" t="s">
        <v>7</v>
      </c>
      <c r="C31" s="7">
        <v>296.66000000000003</v>
      </c>
      <c r="D31" s="199">
        <f>AP29</f>
        <v>10.06</v>
      </c>
      <c r="E31" s="196">
        <f>AQ29</f>
        <v>10.17</v>
      </c>
      <c r="F31" s="90">
        <f t="shared" si="0"/>
        <v>1.23</v>
      </c>
      <c r="G31" s="7">
        <f>E31-F31</f>
        <v>8.94</v>
      </c>
      <c r="H31" s="7">
        <f>D31-G31</f>
        <v>1.1200000000000001</v>
      </c>
      <c r="I31" s="83">
        <f t="shared" ref="I31:I37" si="1">H31*C31</f>
        <v>332.26</v>
      </c>
      <c r="J31" s="80"/>
      <c r="K31" s="83"/>
      <c r="L31" s="103"/>
      <c r="N31" s="137">
        <v>9.64</v>
      </c>
      <c r="O31" s="137">
        <v>10.62</v>
      </c>
      <c r="P31" s="137">
        <v>9.4499999999999993</v>
      </c>
      <c r="Q31" s="137">
        <v>9.9700000000000006</v>
      </c>
      <c r="R31" s="137">
        <v>10.59</v>
      </c>
      <c r="T31" s="137">
        <v>10.6</v>
      </c>
      <c r="U31" s="137">
        <v>10.130000000000001</v>
      </c>
      <c r="V31" s="137">
        <v>10.130000000000001</v>
      </c>
      <c r="W31" s="137">
        <v>10.64</v>
      </c>
      <c r="X31" s="137">
        <v>10.91</v>
      </c>
      <c r="Y31" s="137">
        <v>10.62</v>
      </c>
      <c r="Z31" s="137">
        <v>10.44</v>
      </c>
      <c r="AA31" s="137">
        <v>10.52</v>
      </c>
      <c r="AC31" s="137">
        <v>10.02</v>
      </c>
      <c r="AD31" s="137">
        <v>10.11</v>
      </c>
      <c r="AE31" s="137">
        <v>10.45</v>
      </c>
      <c r="AF31" s="137">
        <v>10.43</v>
      </c>
      <c r="AG31" s="137">
        <v>10.52</v>
      </c>
      <c r="AH31" s="137">
        <v>10.93</v>
      </c>
      <c r="AJ31" s="137">
        <v>10.66</v>
      </c>
      <c r="AK31" s="137">
        <v>10.83</v>
      </c>
      <c r="AL31" s="137">
        <v>11.04</v>
      </c>
      <c r="AM31" s="137">
        <v>11.28</v>
      </c>
      <c r="AN31" s="137">
        <v>11.34</v>
      </c>
      <c r="AP31" s="137">
        <v>9.98</v>
      </c>
      <c r="AQ31" s="137">
        <v>9.4700000000000006</v>
      </c>
      <c r="AR31" s="137">
        <v>10.77</v>
      </c>
      <c r="AT31" s="137">
        <v>10.42</v>
      </c>
      <c r="AU31" s="137">
        <v>10.56</v>
      </c>
      <c r="AW31" s="137">
        <v>10.55</v>
      </c>
      <c r="AX31" s="137">
        <v>10.01</v>
      </c>
      <c r="AY31" s="137">
        <v>10.43</v>
      </c>
      <c r="AZ31" s="137">
        <v>10.37</v>
      </c>
      <c r="BA31" s="137">
        <v>10.31</v>
      </c>
      <c r="BC31" s="137">
        <v>10.39</v>
      </c>
      <c r="BD31" s="137">
        <v>10.51</v>
      </c>
      <c r="BE31" s="137">
        <v>10.97</v>
      </c>
      <c r="BG31" s="137">
        <v>9.5299999999999994</v>
      </c>
      <c r="BH31" s="137"/>
      <c r="BI31" s="137">
        <v>9.52</v>
      </c>
      <c r="BK31" s="137">
        <v>9.39</v>
      </c>
      <c r="BL31" s="137">
        <v>9.4499999999999993</v>
      </c>
      <c r="BN31" s="137">
        <v>9.2899999999999991</v>
      </c>
      <c r="BO31" s="137"/>
    </row>
    <row r="32" spans="1:67" x14ac:dyDescent="0.25">
      <c r="A32" s="102"/>
      <c r="B32" s="89" t="s">
        <v>7</v>
      </c>
      <c r="C32" s="7">
        <f>78.27+46.8</f>
        <v>125.07</v>
      </c>
      <c r="D32" s="199">
        <f>AT29</f>
        <v>10.49</v>
      </c>
      <c r="E32" s="196">
        <f>AU29</f>
        <v>10.5</v>
      </c>
      <c r="F32" s="90">
        <f t="shared" si="0"/>
        <v>1.23</v>
      </c>
      <c r="G32" s="7">
        <f t="shared" ref="G32:G37" si="2">E32-F32</f>
        <v>9.27</v>
      </c>
      <c r="H32" s="7">
        <f t="shared" ref="H32:H37" si="3">D32-G32</f>
        <v>1.22</v>
      </c>
      <c r="I32" s="83">
        <f t="shared" si="1"/>
        <v>152.59</v>
      </c>
      <c r="J32" s="80"/>
      <c r="K32" s="83"/>
      <c r="L32" s="103"/>
      <c r="N32" s="137">
        <v>10.050000000000001</v>
      </c>
      <c r="O32" s="137">
        <v>10.65</v>
      </c>
      <c r="P32" s="137">
        <v>9.92</v>
      </c>
      <c r="Q32" s="137">
        <v>10.35</v>
      </c>
      <c r="R32" s="137">
        <v>10.68</v>
      </c>
      <c r="T32" s="137">
        <v>10.63</v>
      </c>
      <c r="U32" s="137">
        <v>10.1</v>
      </c>
      <c r="V32" s="137">
        <v>10.029999999999999</v>
      </c>
      <c r="W32" s="137">
        <v>10.53</v>
      </c>
      <c r="X32" s="137">
        <v>10.82</v>
      </c>
      <c r="Y32" s="137">
        <v>10.72</v>
      </c>
      <c r="Z32" s="137">
        <v>10.38</v>
      </c>
      <c r="AA32" s="137">
        <v>10.48</v>
      </c>
      <c r="AC32" s="137">
        <v>10.63</v>
      </c>
      <c r="AD32" s="137">
        <v>11.07</v>
      </c>
      <c r="AE32" s="137"/>
      <c r="AF32" s="137">
        <v>10.37</v>
      </c>
      <c r="AG32" s="137">
        <v>10.63</v>
      </c>
      <c r="AH32" s="137"/>
      <c r="AJ32" s="137">
        <v>10.65</v>
      </c>
      <c r="AK32" s="137"/>
      <c r="AL32" s="137">
        <v>10.93</v>
      </c>
      <c r="AM32" s="137">
        <v>11.2</v>
      </c>
      <c r="AN32" s="137">
        <v>11.38</v>
      </c>
      <c r="AP32" s="137">
        <v>9.84</v>
      </c>
      <c r="AQ32" s="137">
        <v>9.7200000000000006</v>
      </c>
      <c r="AR32" s="137">
        <v>10.73</v>
      </c>
      <c r="AT32" s="137">
        <v>10.56</v>
      </c>
      <c r="AU32" s="137">
        <v>10.5</v>
      </c>
      <c r="AW32" s="137">
        <v>10.39</v>
      </c>
      <c r="AX32" s="137">
        <v>9.8800000000000008</v>
      </c>
      <c r="AY32" s="137">
        <v>10.45</v>
      </c>
      <c r="AZ32" s="137">
        <v>10.37</v>
      </c>
      <c r="BA32" s="137">
        <v>10.55</v>
      </c>
      <c r="BC32" s="137">
        <v>10.43</v>
      </c>
      <c r="BD32" s="137">
        <v>10.75</v>
      </c>
      <c r="BE32" s="137">
        <v>11.02</v>
      </c>
      <c r="BG32" s="137">
        <v>9.4499999999999993</v>
      </c>
      <c r="BH32" s="137"/>
      <c r="BI32" s="137">
        <v>9.34</v>
      </c>
      <c r="BK32" s="137">
        <v>9.75</v>
      </c>
      <c r="BL32" s="137">
        <v>9.64</v>
      </c>
      <c r="BN32" s="137"/>
      <c r="BO32" s="137"/>
    </row>
    <row r="33" spans="1:67" x14ac:dyDescent="0.25">
      <c r="A33" s="102"/>
      <c r="B33" s="89" t="s">
        <v>7</v>
      </c>
      <c r="C33" s="7">
        <v>423.14</v>
      </c>
      <c r="D33" s="199">
        <f>AW29</f>
        <v>10.35</v>
      </c>
      <c r="E33" s="196">
        <f>AY29</f>
        <v>10.38</v>
      </c>
      <c r="F33" s="90">
        <f t="shared" si="0"/>
        <v>1.23</v>
      </c>
      <c r="G33" s="7">
        <f t="shared" si="2"/>
        <v>9.15</v>
      </c>
      <c r="H33" s="7">
        <f t="shared" si="3"/>
        <v>1.2</v>
      </c>
      <c r="I33" s="83">
        <f t="shared" si="1"/>
        <v>507.77</v>
      </c>
      <c r="J33" s="80"/>
      <c r="K33" s="83"/>
      <c r="L33" s="103"/>
      <c r="N33" s="137">
        <v>10.220000000000001</v>
      </c>
      <c r="O33" s="137"/>
      <c r="P33" s="137">
        <v>9.8699999999999992</v>
      </c>
      <c r="Q33" s="137">
        <v>10.46</v>
      </c>
      <c r="R33" s="137"/>
      <c r="T33" s="137">
        <v>10.67</v>
      </c>
      <c r="U33" s="137">
        <v>10.33</v>
      </c>
      <c r="V33" s="137">
        <v>10.15</v>
      </c>
      <c r="W33" s="137">
        <v>11.08</v>
      </c>
      <c r="X33" s="137">
        <v>10.76</v>
      </c>
      <c r="Y33" s="137">
        <v>10.63</v>
      </c>
      <c r="Z33" s="137">
        <v>10.52</v>
      </c>
      <c r="AA33" s="137">
        <v>10.37</v>
      </c>
      <c r="AC33" s="137">
        <v>9.69</v>
      </c>
      <c r="AD33" s="137">
        <v>10.25</v>
      </c>
      <c r="AE33" s="137"/>
      <c r="AF33" s="137">
        <v>10.54</v>
      </c>
      <c r="AG33" s="137">
        <v>10.67</v>
      </c>
      <c r="AH33" s="137"/>
      <c r="AJ33" s="137">
        <v>10.81</v>
      </c>
      <c r="AK33" s="137"/>
      <c r="AL33" s="137">
        <v>11.26</v>
      </c>
      <c r="AM33" s="137">
        <v>11.31</v>
      </c>
      <c r="AN33" s="137"/>
      <c r="AP33" s="137">
        <v>10.3</v>
      </c>
      <c r="AQ33" s="137">
        <v>9.8699999999999992</v>
      </c>
      <c r="AR33" s="137">
        <v>10.76</v>
      </c>
      <c r="AT33" s="137">
        <v>10.58</v>
      </c>
      <c r="AU33" s="137">
        <v>10.46</v>
      </c>
      <c r="AW33" s="137">
        <v>10.51</v>
      </c>
      <c r="AX33" s="137">
        <v>10.33</v>
      </c>
      <c r="AY33" s="137">
        <v>10.41</v>
      </c>
      <c r="AZ33" s="137">
        <v>10.33</v>
      </c>
      <c r="BA33" s="137">
        <v>10.51</v>
      </c>
      <c r="BC33" s="137">
        <v>10.25</v>
      </c>
      <c r="BD33" s="137">
        <v>10.71</v>
      </c>
      <c r="BE33" s="137">
        <v>10.98</v>
      </c>
      <c r="BG33" s="137">
        <v>9.3800000000000008</v>
      </c>
      <c r="BH33" s="137"/>
      <c r="BI33" s="137">
        <v>9.39</v>
      </c>
      <c r="BK33" s="137">
        <v>9.64</v>
      </c>
      <c r="BL33" s="137">
        <v>9.67</v>
      </c>
      <c r="BN33" s="137"/>
      <c r="BO33" s="137"/>
    </row>
    <row r="34" spans="1:67" x14ac:dyDescent="0.25">
      <c r="A34" s="204"/>
      <c r="B34" s="89" t="s">
        <v>7</v>
      </c>
      <c r="C34" s="117">
        <v>257.23</v>
      </c>
      <c r="D34" s="199">
        <f>BC29</f>
        <v>10.5</v>
      </c>
      <c r="E34" s="196">
        <f>BD29</f>
        <v>10.86</v>
      </c>
      <c r="F34" s="90">
        <f t="shared" si="0"/>
        <v>1.23</v>
      </c>
      <c r="G34" s="7">
        <f t="shared" si="2"/>
        <v>9.6300000000000008</v>
      </c>
      <c r="H34" s="7">
        <f t="shared" si="3"/>
        <v>0.87</v>
      </c>
      <c r="I34" s="83">
        <f t="shared" si="1"/>
        <v>223.79</v>
      </c>
      <c r="J34" s="86"/>
      <c r="K34" s="119"/>
      <c r="L34" s="205"/>
      <c r="N34" s="137">
        <v>10.17</v>
      </c>
      <c r="O34" s="137"/>
      <c r="P34" s="137">
        <v>9.17</v>
      </c>
      <c r="Q34" s="137">
        <v>10.5</v>
      </c>
      <c r="R34" s="137"/>
      <c r="T34" s="137">
        <v>10.66</v>
      </c>
      <c r="U34" s="137">
        <v>10.31</v>
      </c>
      <c r="V34" s="137"/>
      <c r="W34" s="137">
        <v>11.04</v>
      </c>
      <c r="X34" s="137">
        <v>10.81</v>
      </c>
      <c r="Y34" s="137">
        <v>10.57</v>
      </c>
      <c r="Z34" s="137">
        <v>10.43</v>
      </c>
      <c r="AA34" s="137"/>
      <c r="AC34" s="137">
        <v>10.87</v>
      </c>
      <c r="AD34" s="137">
        <v>10.18</v>
      </c>
      <c r="AE34" s="137"/>
      <c r="AF34" s="137">
        <v>10.45</v>
      </c>
      <c r="AG34" s="137">
        <v>10.88</v>
      </c>
      <c r="AH34" s="137"/>
      <c r="AJ34" s="137">
        <v>10.64</v>
      </c>
      <c r="AK34" s="137"/>
      <c r="AL34" s="137">
        <v>11.17</v>
      </c>
      <c r="AM34" s="137">
        <v>11.35</v>
      </c>
      <c r="AN34" s="137"/>
      <c r="AP34" s="137">
        <v>10.31</v>
      </c>
      <c r="AQ34" s="137">
        <v>9.91</v>
      </c>
      <c r="AR34" s="137">
        <v>10.72</v>
      </c>
      <c r="AT34" s="137">
        <v>10.43</v>
      </c>
      <c r="AU34" s="137">
        <v>10.48</v>
      </c>
      <c r="AW34" s="137">
        <v>10.41</v>
      </c>
      <c r="AX34" s="137">
        <v>10.41</v>
      </c>
      <c r="AY34" s="137">
        <v>10.44</v>
      </c>
      <c r="AZ34" s="137">
        <v>10.28</v>
      </c>
      <c r="BA34" s="137"/>
      <c r="BC34" s="137">
        <v>10.41</v>
      </c>
      <c r="BD34" s="137">
        <v>10.93</v>
      </c>
      <c r="BE34" s="137">
        <v>10.95</v>
      </c>
      <c r="BG34" s="137">
        <v>9.4</v>
      </c>
      <c r="BH34" s="137"/>
      <c r="BI34" s="137">
        <v>9.3699999999999992</v>
      </c>
      <c r="BK34" s="137"/>
      <c r="BL34" s="137">
        <v>9.44</v>
      </c>
      <c r="BN34" s="137"/>
      <c r="BO34" s="137"/>
    </row>
    <row r="35" spans="1:67" x14ac:dyDescent="0.25">
      <c r="A35" s="204"/>
      <c r="B35" s="89" t="s">
        <v>7</v>
      </c>
      <c r="C35" s="117">
        <v>240.31</v>
      </c>
      <c r="D35" s="199">
        <f>BG29</f>
        <v>9.43</v>
      </c>
      <c r="E35" s="196">
        <f>BI29</f>
        <v>9.41</v>
      </c>
      <c r="F35" s="90">
        <f t="shared" si="0"/>
        <v>1.23</v>
      </c>
      <c r="G35" s="7">
        <f t="shared" si="2"/>
        <v>8.18</v>
      </c>
      <c r="H35" s="7">
        <f t="shared" si="3"/>
        <v>1.25</v>
      </c>
      <c r="I35" s="83">
        <f t="shared" si="1"/>
        <v>300.39</v>
      </c>
      <c r="J35" s="86"/>
      <c r="K35" s="119"/>
      <c r="L35" s="205"/>
      <c r="N35" s="137">
        <v>9.7799999999999994</v>
      </c>
      <c r="O35" s="137"/>
      <c r="P35" s="137">
        <v>9.1999999999999993</v>
      </c>
      <c r="Q35" s="137">
        <v>10.53</v>
      </c>
      <c r="R35" s="137"/>
      <c r="T35" s="137">
        <v>10.59</v>
      </c>
      <c r="U35" s="137">
        <v>10.08</v>
      </c>
      <c r="V35" s="137"/>
      <c r="W35" s="137">
        <v>10.93</v>
      </c>
      <c r="X35" s="137">
        <v>10.77</v>
      </c>
      <c r="Y35" s="137">
        <v>10.58</v>
      </c>
      <c r="Z35" s="137">
        <v>10.37</v>
      </c>
      <c r="AA35" s="137"/>
      <c r="AC35" s="137">
        <v>10.31</v>
      </c>
      <c r="AD35" s="137">
        <v>10.119999999999999</v>
      </c>
      <c r="AE35" s="137"/>
      <c r="AF35" s="137">
        <v>10.39</v>
      </c>
      <c r="AG35" s="137">
        <v>10.84</v>
      </c>
      <c r="AH35" s="137"/>
      <c r="AJ35" s="137">
        <v>10.7</v>
      </c>
      <c r="AK35" s="137"/>
      <c r="AL35" s="137">
        <v>11.11</v>
      </c>
      <c r="AM35" s="137">
        <v>11.22</v>
      </c>
      <c r="AN35" s="137"/>
      <c r="AP35" s="137">
        <v>10.1</v>
      </c>
      <c r="AQ35" s="137">
        <v>10.18</v>
      </c>
      <c r="AR35" s="137"/>
      <c r="AT35" s="137">
        <v>10.44</v>
      </c>
      <c r="AU35" s="137">
        <v>10.44</v>
      </c>
      <c r="AW35" s="137">
        <v>10.39</v>
      </c>
      <c r="AX35" s="137">
        <v>10.46</v>
      </c>
      <c r="AY35" s="137">
        <v>10.4</v>
      </c>
      <c r="AZ35" s="137">
        <v>10.24</v>
      </c>
      <c r="BA35" s="137"/>
      <c r="BC35" s="137">
        <v>10.89</v>
      </c>
      <c r="BD35" s="137">
        <v>10.89</v>
      </c>
      <c r="BE35" s="137"/>
      <c r="BG35" s="137">
        <v>9.33</v>
      </c>
      <c r="BH35" s="137"/>
      <c r="BI35" s="137">
        <v>9.42</v>
      </c>
      <c r="BK35" s="137"/>
      <c r="BL35" s="137">
        <v>9.48</v>
      </c>
      <c r="BN35" s="137"/>
      <c r="BO35" s="137"/>
    </row>
    <row r="36" spans="1:67" x14ac:dyDescent="0.25">
      <c r="A36" s="204"/>
      <c r="B36" s="89" t="s">
        <v>7</v>
      </c>
      <c r="C36" s="117">
        <v>139.84</v>
      </c>
      <c r="D36" s="199">
        <f>BK29</f>
        <v>9.52</v>
      </c>
      <c r="E36" s="196">
        <f>BL29</f>
        <v>9.51</v>
      </c>
      <c r="F36" s="90">
        <f t="shared" si="0"/>
        <v>1.23</v>
      </c>
      <c r="G36" s="7">
        <f t="shared" si="2"/>
        <v>8.2799999999999994</v>
      </c>
      <c r="H36" s="7">
        <f t="shared" si="3"/>
        <v>1.24</v>
      </c>
      <c r="I36" s="83">
        <f t="shared" si="1"/>
        <v>173.4</v>
      </c>
      <c r="J36" s="86"/>
      <c r="K36" s="119"/>
      <c r="L36" s="205"/>
      <c r="N36" s="137">
        <v>9.7100000000000009</v>
      </c>
      <c r="O36" s="137"/>
      <c r="P36" s="137">
        <v>9.2899999999999991</v>
      </c>
      <c r="Q36" s="137">
        <v>10.64</v>
      </c>
      <c r="R36" s="137"/>
      <c r="T36" s="137">
        <v>10.57</v>
      </c>
      <c r="U36" s="137">
        <v>10.09</v>
      </c>
      <c r="V36" s="137"/>
      <c r="W36" s="137">
        <v>11.06</v>
      </c>
      <c r="X36" s="137">
        <v>10.66</v>
      </c>
      <c r="Y36" s="137">
        <v>10.49</v>
      </c>
      <c r="Z36" s="137">
        <v>10.51</v>
      </c>
      <c r="AA36" s="137"/>
      <c r="AC36" s="137">
        <v>10.050000000000001</v>
      </c>
      <c r="AD36" s="137">
        <v>9.7799999999999994</v>
      </c>
      <c r="AE36" s="137"/>
      <c r="AF36" s="137">
        <v>10.59</v>
      </c>
      <c r="AG36" s="137">
        <v>10.73</v>
      </c>
      <c r="AH36" s="137"/>
      <c r="AJ36" s="137">
        <v>10.73</v>
      </c>
      <c r="AK36" s="137"/>
      <c r="AL36" s="137">
        <v>11.26</v>
      </c>
      <c r="AM36" s="137">
        <v>11.34</v>
      </c>
      <c r="AN36" s="137"/>
      <c r="AP36" s="137">
        <v>10.35</v>
      </c>
      <c r="AQ36" s="137">
        <v>10.14</v>
      </c>
      <c r="AR36" s="137"/>
      <c r="AT36" s="137"/>
      <c r="AU36" s="137">
        <v>10.48</v>
      </c>
      <c r="AW36" s="137">
        <v>10.35</v>
      </c>
      <c r="AX36" s="137">
        <v>10.92</v>
      </c>
      <c r="AY36" s="137">
        <v>10.43</v>
      </c>
      <c r="AZ36" s="137">
        <v>10.23</v>
      </c>
      <c r="BA36" s="137"/>
      <c r="BC36" s="137">
        <v>10.98</v>
      </c>
      <c r="BD36" s="137">
        <v>10.99</v>
      </c>
      <c r="BE36" s="137"/>
      <c r="BG36" s="137">
        <v>9.44</v>
      </c>
      <c r="BH36" s="137"/>
      <c r="BI36" s="137"/>
      <c r="BK36" s="137"/>
      <c r="BL36" s="137"/>
      <c r="BN36" s="137"/>
      <c r="BO36" s="137"/>
    </row>
    <row r="37" spans="1:67" x14ac:dyDescent="0.25">
      <c r="A37" s="204"/>
      <c r="B37" s="89" t="s">
        <v>7</v>
      </c>
      <c r="C37" s="117">
        <v>32.54</v>
      </c>
      <c r="D37" s="199">
        <f>BN29</f>
        <v>9.2899999999999991</v>
      </c>
      <c r="E37" s="196">
        <f>BO29</f>
        <v>9.51</v>
      </c>
      <c r="F37" s="90">
        <f t="shared" si="0"/>
        <v>1.23</v>
      </c>
      <c r="G37" s="7">
        <f t="shared" si="2"/>
        <v>8.2799999999999994</v>
      </c>
      <c r="H37" s="7">
        <f t="shared" si="3"/>
        <v>1.01</v>
      </c>
      <c r="I37" s="83">
        <f t="shared" si="1"/>
        <v>32.869999999999997</v>
      </c>
      <c r="J37" s="86"/>
      <c r="K37" s="119"/>
      <c r="L37" s="205"/>
      <c r="N37" s="137">
        <v>9.94</v>
      </c>
      <c r="O37" s="137"/>
      <c r="P37" s="137">
        <v>10.119999999999999</v>
      </c>
      <c r="Q37" s="137">
        <v>10.68</v>
      </c>
      <c r="R37" s="137"/>
      <c r="T37" s="137">
        <v>10.4</v>
      </c>
      <c r="U37" s="137">
        <v>9.8699999999999992</v>
      </c>
      <c r="V37" s="137"/>
      <c r="W37" s="137">
        <v>10.97</v>
      </c>
      <c r="X37" s="137">
        <v>10.77</v>
      </c>
      <c r="Y37" s="137">
        <v>10.43</v>
      </c>
      <c r="Z37" s="137">
        <v>10.47</v>
      </c>
      <c r="AA37" s="137"/>
      <c r="AC37" s="137">
        <v>9.35</v>
      </c>
      <c r="AD37" s="137">
        <v>10.029999999999999</v>
      </c>
      <c r="AE37" s="137"/>
      <c r="AF37" s="137">
        <v>10.5</v>
      </c>
      <c r="AG37" s="137">
        <v>11.08</v>
      </c>
      <c r="AH37" s="137"/>
      <c r="AJ37" s="137">
        <v>10.87</v>
      </c>
      <c r="AK37" s="137"/>
      <c r="AL37" s="137">
        <v>11.13</v>
      </c>
      <c r="AM37" s="137">
        <v>11.38</v>
      </c>
      <c r="AN37" s="137"/>
      <c r="AP37" s="137"/>
      <c r="AQ37" s="137">
        <v>10.38</v>
      </c>
      <c r="AR37" s="137"/>
      <c r="AT37" s="137"/>
      <c r="AU37" s="137">
        <v>10.44</v>
      </c>
      <c r="AW37" s="137">
        <v>10.4</v>
      </c>
      <c r="AX37" s="137">
        <v>10.28</v>
      </c>
      <c r="AY37" s="137">
        <v>10.39</v>
      </c>
      <c r="AZ37" s="137">
        <v>10.26</v>
      </c>
      <c r="BA37" s="137"/>
      <c r="BC37" s="137"/>
      <c r="BD37" s="137">
        <v>10.9</v>
      </c>
      <c r="BE37" s="137"/>
      <c r="BG37" s="137">
        <v>9.44</v>
      </c>
      <c r="BH37" s="137"/>
      <c r="BI37" s="137"/>
      <c r="BK37" s="137"/>
      <c r="BL37" s="137"/>
      <c r="BN37" s="137"/>
      <c r="BO37" s="137"/>
    </row>
    <row r="38" spans="1:67" ht="15.75" thickBot="1" x14ac:dyDescent="0.3">
      <c r="A38" s="206"/>
      <c r="B38" s="207"/>
      <c r="C38" s="208"/>
      <c r="D38" s="209"/>
      <c r="E38" s="208"/>
      <c r="F38" s="207"/>
      <c r="G38" s="208"/>
      <c r="H38" s="208"/>
      <c r="I38" s="210"/>
      <c r="J38" s="211"/>
      <c r="K38" s="254">
        <f>SUM(I27:I38)</f>
        <v>4600.12</v>
      </c>
      <c r="L38" s="113">
        <f>SUM(J27:J38)*(-1)</f>
        <v>0</v>
      </c>
    </row>
    <row r="39" spans="1:67" ht="45.75" thickTop="1" x14ac:dyDescent="0.25">
      <c r="A39" s="182" t="s">
        <v>135</v>
      </c>
      <c r="B39" s="255"/>
      <c r="C39" s="97">
        <v>21.9</v>
      </c>
      <c r="D39" s="198">
        <f>N40</f>
        <v>9.64</v>
      </c>
      <c r="E39" s="195">
        <f>Q40</f>
        <v>9.4600000000000009</v>
      </c>
      <c r="F39" s="217"/>
      <c r="G39" s="97">
        <f>E39-F39</f>
        <v>9.4600000000000009</v>
      </c>
      <c r="H39" s="97">
        <f>D39-G39</f>
        <v>0.18</v>
      </c>
      <c r="I39" s="99"/>
      <c r="J39" s="100"/>
      <c r="K39" s="119"/>
      <c r="L39" s="205"/>
      <c r="N39" s="200" t="s">
        <v>139</v>
      </c>
      <c r="O39" s="197"/>
      <c r="P39" s="197"/>
      <c r="Q39" s="201" t="s">
        <v>140</v>
      </c>
    </row>
    <row r="40" spans="1:67" ht="18.75" x14ac:dyDescent="0.3">
      <c r="A40" s="194">
        <f>D7</f>
        <v>21.9</v>
      </c>
      <c r="B40" s="1"/>
      <c r="C40" s="7"/>
      <c r="D40" s="77"/>
      <c r="E40" s="77"/>
      <c r="F40" s="1"/>
      <c r="G40" s="7"/>
      <c r="H40" s="80"/>
      <c r="I40" s="83"/>
      <c r="J40" s="80"/>
      <c r="K40" s="119"/>
      <c r="L40" s="205"/>
      <c r="N40" s="202">
        <f>AVERAGE(N41:P41)</f>
        <v>9.64</v>
      </c>
      <c r="O40" s="137" t="s">
        <v>132</v>
      </c>
      <c r="P40" s="137" t="s">
        <v>132</v>
      </c>
      <c r="Q40" s="203">
        <f>AVERAGE(Q41)</f>
        <v>9.4600000000000009</v>
      </c>
    </row>
    <row r="41" spans="1:67" ht="15.75" thickBot="1" x14ac:dyDescent="0.3">
      <c r="A41" s="214">
        <f>SUM(C39:C41)</f>
        <v>21.9</v>
      </c>
      <c r="B41" s="108"/>
      <c r="C41" s="109"/>
      <c r="D41" s="110"/>
      <c r="E41" s="110"/>
      <c r="F41" s="108"/>
      <c r="G41" s="109"/>
      <c r="H41" s="112"/>
      <c r="I41" s="111"/>
      <c r="J41" s="112"/>
      <c r="K41" s="254">
        <f>SUM(I39:I41)</f>
        <v>0</v>
      </c>
      <c r="L41" s="113">
        <f>SUM(J39:J41)*(-1)</f>
        <v>0</v>
      </c>
      <c r="N41" s="137">
        <v>9.64</v>
      </c>
      <c r="O41" s="137"/>
      <c r="P41" s="137"/>
      <c r="Q41" s="137">
        <v>9.4600000000000009</v>
      </c>
    </row>
    <row r="42" spans="1:67" ht="15.75" thickTop="1" x14ac:dyDescent="0.25">
      <c r="A42" s="105" t="s">
        <v>121</v>
      </c>
      <c r="B42" s="89" t="s">
        <v>4</v>
      </c>
      <c r="C42" s="90"/>
      <c r="D42" s="212"/>
      <c r="E42" s="213"/>
      <c r="F42" s="90"/>
      <c r="G42" s="90">
        <f>E42-F42</f>
        <v>0</v>
      </c>
      <c r="H42" s="90">
        <f>D42-G42</f>
        <v>0</v>
      </c>
      <c r="I42" s="99">
        <f>H42*C42</f>
        <v>0</v>
      </c>
      <c r="J42" s="93"/>
      <c r="K42" s="92"/>
      <c r="L42" s="106"/>
    </row>
    <row r="43" spans="1:67" ht="60" x14ac:dyDescent="0.25">
      <c r="A43" s="194">
        <f>D8</f>
        <v>747.99</v>
      </c>
      <c r="B43" s="89" t="s">
        <v>4</v>
      </c>
      <c r="C43" s="7">
        <v>138.36000000000001</v>
      </c>
      <c r="D43" s="199">
        <f>N44</f>
        <v>10.36</v>
      </c>
      <c r="E43" s="196">
        <f>O44</f>
        <v>10.19</v>
      </c>
      <c r="F43" s="218">
        <f>0.04+0.05+0.31</f>
        <v>0.4</v>
      </c>
      <c r="G43" s="7">
        <f t="shared" ref="G43:G48" si="4">E43-F43</f>
        <v>9.7899999999999991</v>
      </c>
      <c r="H43" s="7">
        <f t="shared" ref="H43:H48" si="5">D43-G43</f>
        <v>0.56999999999999995</v>
      </c>
      <c r="I43" s="83">
        <f t="shared" ref="I43:I48" si="6">H43*C43</f>
        <v>78.87</v>
      </c>
      <c r="J43" s="80"/>
      <c r="K43" s="83"/>
      <c r="L43" s="103"/>
      <c r="N43" s="200" t="s">
        <v>141</v>
      </c>
      <c r="O43" s="201" t="s">
        <v>142</v>
      </c>
      <c r="Q43" s="200" t="s">
        <v>141</v>
      </c>
      <c r="R43" s="197"/>
      <c r="S43" s="201" t="s">
        <v>142</v>
      </c>
      <c r="U43" s="200" t="s">
        <v>141</v>
      </c>
      <c r="V43" s="197"/>
      <c r="W43" s="201" t="s">
        <v>142</v>
      </c>
      <c r="Y43" s="200" t="s">
        <v>141</v>
      </c>
      <c r="Z43" s="197"/>
      <c r="AA43" s="201" t="s">
        <v>142</v>
      </c>
      <c r="AC43" s="200" t="s">
        <v>141</v>
      </c>
      <c r="AD43" s="197"/>
      <c r="AE43" s="201" t="s">
        <v>142</v>
      </c>
      <c r="AG43" s="200" t="s">
        <v>141</v>
      </c>
      <c r="AH43" s="201" t="s">
        <v>142</v>
      </c>
    </row>
    <row r="44" spans="1:67" ht="18.75" x14ac:dyDescent="0.3">
      <c r="A44" s="194">
        <f>SUM(C42:C53)</f>
        <v>747.99</v>
      </c>
      <c r="B44" s="89" t="s">
        <v>4</v>
      </c>
      <c r="C44" s="7">
        <v>142.22999999999999</v>
      </c>
      <c r="D44" s="199">
        <f>Q44</f>
        <v>10.41</v>
      </c>
      <c r="E44" s="196">
        <f>S44</f>
        <v>10.51</v>
      </c>
      <c r="F44" s="90"/>
      <c r="G44" s="7">
        <f t="shared" si="4"/>
        <v>10.51</v>
      </c>
      <c r="H44" s="7">
        <f t="shared" si="5"/>
        <v>-0.1</v>
      </c>
      <c r="I44" s="83"/>
      <c r="J44" s="80">
        <f>H44*C44</f>
        <v>-14.223000000000001</v>
      </c>
      <c r="K44" s="83"/>
      <c r="L44" s="103"/>
      <c r="N44" s="202">
        <f>AVERAGE(N45:N52)</f>
        <v>10.36125</v>
      </c>
      <c r="O44" s="203">
        <f>AVERAGE(O45:O52)</f>
        <v>10.19</v>
      </c>
      <c r="Q44" s="202">
        <f>AVERAGE(Q45:R52)</f>
        <v>10.4098461538462</v>
      </c>
      <c r="R44" s="137" t="s">
        <v>132</v>
      </c>
      <c r="S44" s="203">
        <f>AVERAGE(S45:S52)</f>
        <v>10.51</v>
      </c>
      <c r="U44" s="202">
        <f>AVERAGE(U45:V52)</f>
        <v>10.32</v>
      </c>
      <c r="V44" s="137" t="s">
        <v>132</v>
      </c>
      <c r="W44" s="203">
        <f>AVERAGE(W45:W52)</f>
        <v>10.24</v>
      </c>
      <c r="Y44" s="202">
        <f>AVERAGE(Y45:Z52)</f>
        <v>10.170769230769199</v>
      </c>
      <c r="Z44" s="137" t="s">
        <v>132</v>
      </c>
      <c r="AA44" s="203">
        <f>AVERAGE(AA45:AA52)</f>
        <v>10.56</v>
      </c>
      <c r="AC44" s="202">
        <f>AVERAGE(AC45:AD52)</f>
        <v>10.598125</v>
      </c>
      <c r="AD44" s="137" t="s">
        <v>132</v>
      </c>
      <c r="AE44" s="203">
        <f>AVERAGE(AE45:AE52)</f>
        <v>10.89</v>
      </c>
      <c r="AG44" s="202">
        <f>AVERAGE(AG45:AG52)</f>
        <v>9.81666666666667</v>
      </c>
      <c r="AH44" s="203">
        <f>AVERAGE(AH45:AH52)</f>
        <v>9.69</v>
      </c>
    </row>
    <row r="45" spans="1:67" x14ac:dyDescent="0.25">
      <c r="A45" s="102"/>
      <c r="B45" s="89" t="s">
        <v>4</v>
      </c>
      <c r="C45" s="7">
        <v>184.96</v>
      </c>
      <c r="D45" s="199">
        <f>U44</f>
        <v>10.32</v>
      </c>
      <c r="E45" s="196">
        <f>W44</f>
        <v>10.24</v>
      </c>
      <c r="F45" s="90"/>
      <c r="G45" s="7">
        <f t="shared" si="4"/>
        <v>10.24</v>
      </c>
      <c r="H45" s="7">
        <f t="shared" si="5"/>
        <v>0.08</v>
      </c>
      <c r="I45" s="83">
        <f t="shared" si="6"/>
        <v>14.8</v>
      </c>
      <c r="J45" s="80"/>
      <c r="K45" s="83"/>
      <c r="L45" s="103"/>
      <c r="N45" s="137">
        <v>9.64</v>
      </c>
      <c r="O45" s="137">
        <v>9.98</v>
      </c>
      <c r="Q45" s="137">
        <v>10.59</v>
      </c>
      <c r="R45" s="137">
        <v>10.3</v>
      </c>
      <c r="S45" s="137">
        <v>10.61</v>
      </c>
      <c r="U45" s="137">
        <v>10.09</v>
      </c>
      <c r="V45" s="137">
        <v>10.63</v>
      </c>
      <c r="W45" s="137">
        <v>10.28</v>
      </c>
      <c r="Y45" s="137">
        <v>10.029999999999999</v>
      </c>
      <c r="Z45" s="137">
        <v>10.119999999999999</v>
      </c>
      <c r="AA45" s="137">
        <v>10.56</v>
      </c>
      <c r="AC45" s="137">
        <v>10.5</v>
      </c>
      <c r="AD45" s="137">
        <v>10.46</v>
      </c>
      <c r="AE45" s="137">
        <v>10.76</v>
      </c>
      <c r="AG45" s="137">
        <v>10.17</v>
      </c>
      <c r="AH45" s="137">
        <v>9.69</v>
      </c>
    </row>
    <row r="46" spans="1:67" x14ac:dyDescent="0.25">
      <c r="A46" s="102"/>
      <c r="B46" s="89" t="s">
        <v>4</v>
      </c>
      <c r="C46" s="7">
        <v>137.63999999999999</v>
      </c>
      <c r="D46" s="199">
        <f>Y44</f>
        <v>10.17</v>
      </c>
      <c r="E46" s="196">
        <f>AA44</f>
        <v>10.56</v>
      </c>
      <c r="F46" s="90"/>
      <c r="G46" s="7">
        <f t="shared" si="4"/>
        <v>10.56</v>
      </c>
      <c r="H46" s="7">
        <f t="shared" si="5"/>
        <v>-0.39</v>
      </c>
      <c r="I46" s="83"/>
      <c r="J46" s="80">
        <f>H46*C46</f>
        <v>-53.679600000000001</v>
      </c>
      <c r="K46" s="83"/>
      <c r="L46" s="103"/>
      <c r="N46" s="137">
        <v>9.94</v>
      </c>
      <c r="O46" s="137">
        <v>10.210000000000001</v>
      </c>
      <c r="Q46" s="137">
        <v>10.53</v>
      </c>
      <c r="R46" s="137">
        <v>10.33</v>
      </c>
      <c r="S46" s="137">
        <v>10.51</v>
      </c>
      <c r="U46" s="137">
        <v>10.09</v>
      </c>
      <c r="V46" s="137">
        <v>10.87</v>
      </c>
      <c r="W46" s="137">
        <v>10.23</v>
      </c>
      <c r="Y46" s="137">
        <v>10.41</v>
      </c>
      <c r="Z46" s="137">
        <v>9.98</v>
      </c>
      <c r="AA46" s="137"/>
      <c r="AC46" s="137">
        <v>10.46</v>
      </c>
      <c r="AD46" s="137">
        <v>10.37</v>
      </c>
      <c r="AE46" s="137">
        <v>10.94</v>
      </c>
      <c r="AG46" s="137">
        <v>9.64</v>
      </c>
      <c r="AH46" s="137"/>
    </row>
    <row r="47" spans="1:67" x14ac:dyDescent="0.25">
      <c r="A47" s="102"/>
      <c r="B47" s="89" t="s">
        <v>4</v>
      </c>
      <c r="C47" s="7">
        <v>129.13999999999999</v>
      </c>
      <c r="D47" s="199">
        <f>AC44</f>
        <v>10.6</v>
      </c>
      <c r="E47" s="196">
        <f>AE44</f>
        <v>10.89</v>
      </c>
      <c r="F47" s="90"/>
      <c r="G47" s="7">
        <f t="shared" si="4"/>
        <v>10.89</v>
      </c>
      <c r="H47" s="7">
        <f t="shared" si="5"/>
        <v>-0.28999999999999998</v>
      </c>
      <c r="I47" s="83"/>
      <c r="J47" s="80">
        <f>H47*C47</f>
        <v>-37.450600000000001</v>
      </c>
      <c r="K47" s="83"/>
      <c r="L47" s="103"/>
      <c r="N47" s="137">
        <v>10.44</v>
      </c>
      <c r="O47" s="137">
        <v>10.38</v>
      </c>
      <c r="Q47" s="137">
        <v>10.57</v>
      </c>
      <c r="R47" s="137">
        <v>10.43</v>
      </c>
      <c r="S47" s="137">
        <v>10.47</v>
      </c>
      <c r="U47" s="137">
        <v>10.16</v>
      </c>
      <c r="V47" s="137">
        <v>10.31</v>
      </c>
      <c r="W47" s="137">
        <v>10.23</v>
      </c>
      <c r="Y47" s="137">
        <v>10.65</v>
      </c>
      <c r="Z47" s="137">
        <v>9.9</v>
      </c>
      <c r="AA47" s="137"/>
      <c r="AC47" s="137">
        <v>10.45</v>
      </c>
      <c r="AD47" s="137">
        <v>10.32</v>
      </c>
      <c r="AE47" s="137">
        <v>10.96</v>
      </c>
      <c r="AG47" s="137">
        <v>9.64</v>
      </c>
      <c r="AH47" s="137"/>
    </row>
    <row r="48" spans="1:67" x14ac:dyDescent="0.25">
      <c r="A48" s="102"/>
      <c r="B48" s="89" t="s">
        <v>4</v>
      </c>
      <c r="C48" s="7">
        <v>15.66</v>
      </c>
      <c r="D48" s="199">
        <f>AG44</f>
        <v>9.82</v>
      </c>
      <c r="E48" s="196">
        <f>AH44</f>
        <v>9.69</v>
      </c>
      <c r="F48" s="90"/>
      <c r="G48" s="7">
        <f t="shared" si="4"/>
        <v>9.69</v>
      </c>
      <c r="H48" s="7">
        <f t="shared" si="5"/>
        <v>0.13</v>
      </c>
      <c r="I48" s="83">
        <f t="shared" si="6"/>
        <v>2.04</v>
      </c>
      <c r="J48" s="80"/>
      <c r="K48" s="83"/>
      <c r="L48" s="103"/>
      <c r="N48" s="137">
        <v>10.62</v>
      </c>
      <c r="O48" s="137"/>
      <c r="Q48" s="137">
        <v>10.298</v>
      </c>
      <c r="R48" s="137">
        <v>10.31</v>
      </c>
      <c r="S48" s="137">
        <v>10.43</v>
      </c>
      <c r="U48" s="137">
        <v>10.43</v>
      </c>
      <c r="V48" s="137"/>
      <c r="W48" s="137">
        <v>10.199999999999999</v>
      </c>
      <c r="Y48" s="137">
        <v>10.119999999999999</v>
      </c>
      <c r="Z48" s="137">
        <v>10.27</v>
      </c>
      <c r="AA48" s="137"/>
      <c r="AC48" s="137">
        <v>10.48</v>
      </c>
      <c r="AD48" s="137">
        <v>10.76</v>
      </c>
      <c r="AE48" s="137"/>
      <c r="AG48" s="137"/>
      <c r="AH48" s="137"/>
    </row>
    <row r="49" spans="1:62" x14ac:dyDescent="0.25">
      <c r="A49" s="204"/>
      <c r="B49" s="256"/>
      <c r="C49" s="118"/>
      <c r="D49" s="77"/>
      <c r="E49" s="77"/>
      <c r="F49" s="90"/>
      <c r="G49" s="7"/>
      <c r="H49" s="119"/>
      <c r="I49" s="119"/>
      <c r="J49" s="86"/>
      <c r="K49" s="119"/>
      <c r="L49" s="205"/>
      <c r="N49" s="137">
        <v>10.54</v>
      </c>
      <c r="O49" s="137"/>
      <c r="Q49" s="137">
        <v>10.39</v>
      </c>
      <c r="R49" s="137">
        <v>10.4</v>
      </c>
      <c r="S49" s="137"/>
      <c r="U49" s="137">
        <v>10.28</v>
      </c>
      <c r="V49" s="137"/>
      <c r="W49" s="137">
        <v>10.23</v>
      </c>
      <c r="Y49" s="137">
        <v>10.24</v>
      </c>
      <c r="Z49" s="137">
        <v>10.029999999999999</v>
      </c>
      <c r="AA49" s="137"/>
      <c r="AC49" s="137">
        <v>10.52</v>
      </c>
      <c r="AD49" s="137">
        <v>10.83</v>
      </c>
      <c r="AE49" s="137"/>
      <c r="AG49" s="137"/>
      <c r="AH49" s="137"/>
    </row>
    <row r="50" spans="1:62" x14ac:dyDescent="0.25">
      <c r="A50" s="204"/>
      <c r="B50" s="256"/>
      <c r="C50" s="118"/>
      <c r="D50" s="77"/>
      <c r="E50" s="77"/>
      <c r="F50" s="90"/>
      <c r="G50" s="7"/>
      <c r="H50" s="119"/>
      <c r="I50" s="119"/>
      <c r="J50" s="86"/>
      <c r="K50" s="119"/>
      <c r="L50" s="205"/>
      <c r="N50" s="137">
        <v>10.6</v>
      </c>
      <c r="O50" s="137"/>
      <c r="Q50" s="137">
        <v>10.43</v>
      </c>
      <c r="R50" s="137"/>
      <c r="S50" s="137"/>
      <c r="U50" s="137">
        <v>10.31</v>
      </c>
      <c r="V50" s="137"/>
      <c r="W50" s="137">
        <v>10.23</v>
      </c>
      <c r="Y50" s="137">
        <v>10.210000000000001</v>
      </c>
      <c r="Z50" s="137"/>
      <c r="AA50" s="137"/>
      <c r="AC50" s="137">
        <v>11.04</v>
      </c>
      <c r="AD50" s="137">
        <v>10.83</v>
      </c>
      <c r="AE50" s="137"/>
      <c r="AG50" s="137"/>
      <c r="AH50" s="137"/>
    </row>
    <row r="51" spans="1:62" x14ac:dyDescent="0.25">
      <c r="A51" s="204"/>
      <c r="B51" s="256"/>
      <c r="C51" s="118"/>
      <c r="D51" s="77"/>
      <c r="E51" s="77"/>
      <c r="F51" s="90"/>
      <c r="G51" s="7"/>
      <c r="H51" s="119"/>
      <c r="I51" s="119"/>
      <c r="J51" s="86"/>
      <c r="K51" s="119"/>
      <c r="L51" s="205"/>
      <c r="N51" s="137">
        <v>10.51</v>
      </c>
      <c r="O51" s="137"/>
      <c r="Q51" s="137">
        <v>10.44</v>
      </c>
      <c r="R51" s="137"/>
      <c r="S51" s="137"/>
      <c r="U51" s="137">
        <v>10.210000000000001</v>
      </c>
      <c r="V51" s="137"/>
      <c r="W51" s="137">
        <v>10.29</v>
      </c>
      <c r="Y51" s="137">
        <v>10.14</v>
      </c>
      <c r="Z51" s="137"/>
      <c r="AA51" s="137"/>
      <c r="AC51" s="137">
        <v>10.51</v>
      </c>
      <c r="AD51" s="137">
        <v>10.71</v>
      </c>
      <c r="AE51" s="137"/>
      <c r="AG51" s="137"/>
      <c r="AH51" s="137"/>
    </row>
    <row r="52" spans="1:62" x14ac:dyDescent="0.25">
      <c r="A52" s="204"/>
      <c r="B52" s="256"/>
      <c r="C52" s="118"/>
      <c r="D52" s="77"/>
      <c r="E52" s="77"/>
      <c r="F52" s="90"/>
      <c r="G52" s="7"/>
      <c r="H52" s="119"/>
      <c r="I52" s="119"/>
      <c r="J52" s="86"/>
      <c r="K52" s="119"/>
      <c r="L52" s="205"/>
      <c r="N52" s="137">
        <v>10.6</v>
      </c>
      <c r="O52" s="137"/>
      <c r="Q52" s="137">
        <v>10.31</v>
      </c>
      <c r="R52" s="137"/>
      <c r="S52" s="137"/>
      <c r="U52" s="137">
        <v>10.14</v>
      </c>
      <c r="V52" s="137"/>
      <c r="W52" s="137"/>
      <c r="Y52" s="137">
        <v>10.119999999999999</v>
      </c>
      <c r="Z52" s="137"/>
      <c r="AA52" s="137"/>
      <c r="AC52" s="137">
        <v>10.69</v>
      </c>
      <c r="AD52" s="137">
        <v>10.64</v>
      </c>
      <c r="AE52" s="137"/>
      <c r="AG52" s="137"/>
      <c r="AH52" s="137"/>
    </row>
    <row r="53" spans="1:62" ht="15.75" thickBot="1" x14ac:dyDescent="0.3">
      <c r="A53" s="206"/>
      <c r="B53" s="207"/>
      <c r="C53" s="208"/>
      <c r="D53" s="209"/>
      <c r="E53" s="208"/>
      <c r="F53" s="207"/>
      <c r="G53" s="208"/>
      <c r="H53" s="210"/>
      <c r="I53" s="210"/>
      <c r="J53" s="211"/>
      <c r="K53" s="254">
        <f>SUM(I42:I53)</f>
        <v>95.71</v>
      </c>
      <c r="L53" s="113">
        <f>SUM(J42:J53)*(-1)</f>
        <v>105.3532</v>
      </c>
    </row>
    <row r="54" spans="1:62" ht="60.75" thickTop="1" x14ac:dyDescent="0.25">
      <c r="A54" s="105" t="s">
        <v>6</v>
      </c>
      <c r="B54" s="89"/>
      <c r="C54" s="90"/>
      <c r="D54" s="212"/>
      <c r="E54" s="213"/>
      <c r="F54" s="90"/>
      <c r="G54" s="90">
        <f>E54-F54</f>
        <v>0</v>
      </c>
      <c r="H54" s="90">
        <f>D54-G54</f>
        <v>0</v>
      </c>
      <c r="I54" s="99">
        <f>H54*C54</f>
        <v>0</v>
      </c>
      <c r="J54" s="93"/>
      <c r="K54" s="92"/>
      <c r="L54" s="106"/>
      <c r="N54" s="200" t="s">
        <v>143</v>
      </c>
      <c r="O54" s="197"/>
      <c r="P54" s="201" t="s">
        <v>131</v>
      </c>
      <c r="R54" s="200" t="s">
        <v>143</v>
      </c>
      <c r="S54" s="197"/>
      <c r="T54" s="201" t="s">
        <v>131</v>
      </c>
      <c r="U54" s="201"/>
      <c r="W54" s="200" t="s">
        <v>143</v>
      </c>
      <c r="X54" s="197"/>
      <c r="Y54" s="197"/>
      <c r="Z54" s="201" t="s">
        <v>131</v>
      </c>
      <c r="AA54" s="201"/>
      <c r="AB54" s="201"/>
      <c r="AD54" s="200" t="s">
        <v>143</v>
      </c>
      <c r="AE54" s="197"/>
      <c r="AF54" s="197"/>
      <c r="AG54" s="201" t="s">
        <v>144</v>
      </c>
      <c r="AH54" s="201"/>
      <c r="AJ54" s="200" t="s">
        <v>143</v>
      </c>
      <c r="AK54" s="197"/>
      <c r="AL54" s="197"/>
      <c r="AM54" s="201" t="s">
        <v>144</v>
      </c>
      <c r="AO54" s="200" t="s">
        <v>143</v>
      </c>
      <c r="AP54" s="197"/>
      <c r="AQ54" s="197"/>
      <c r="AR54" s="201" t="s">
        <v>144</v>
      </c>
      <c r="AS54" s="201"/>
      <c r="AU54" s="200" t="s">
        <v>143</v>
      </c>
      <c r="AV54" s="197"/>
      <c r="AW54" s="197"/>
      <c r="AX54" s="201" t="s">
        <v>144</v>
      </c>
      <c r="AY54" s="201"/>
      <c r="BA54" s="200" t="s">
        <v>143</v>
      </c>
      <c r="BB54" s="197"/>
      <c r="BC54" s="201" t="s">
        <v>144</v>
      </c>
      <c r="BE54" s="200" t="s">
        <v>143</v>
      </c>
      <c r="BF54" s="197"/>
      <c r="BG54" s="201" t="s">
        <v>144</v>
      </c>
      <c r="BI54" s="200" t="s">
        <v>143</v>
      </c>
      <c r="BJ54" s="201" t="s">
        <v>144</v>
      </c>
    </row>
    <row r="55" spans="1:62" ht="18.75" x14ac:dyDescent="0.3">
      <c r="A55" s="194">
        <f>D9</f>
        <v>6677.65</v>
      </c>
      <c r="B55" s="89"/>
      <c r="C55" s="7">
        <v>358.35</v>
      </c>
      <c r="D55" s="199">
        <f>N55</f>
        <v>9.83</v>
      </c>
      <c r="E55" s="196">
        <f>P55</f>
        <v>9.8699999999999992</v>
      </c>
      <c r="F55" s="90">
        <v>0.2</v>
      </c>
      <c r="G55" s="7">
        <f t="shared" ref="G55:G64" si="7">E55-F55</f>
        <v>9.67</v>
      </c>
      <c r="H55" s="7">
        <f>D55-G55</f>
        <v>0.16</v>
      </c>
      <c r="I55" s="83">
        <f t="shared" ref="I55:I64" si="8">H55*C55</f>
        <v>57.34</v>
      </c>
      <c r="J55" s="80"/>
      <c r="K55" s="83"/>
      <c r="L55" s="103"/>
      <c r="N55" s="202">
        <f>AVERAGE(N56:O63)</f>
        <v>9.8283333333333296</v>
      </c>
      <c r="O55" s="137" t="s">
        <v>132</v>
      </c>
      <c r="P55" s="203">
        <f>AVERAGE(P56:P63)</f>
        <v>9.8699999999999992</v>
      </c>
      <c r="R55" s="202">
        <f>AVERAGE(R56:S63)</f>
        <v>10.4614285714286</v>
      </c>
      <c r="S55" s="137" t="s">
        <v>132</v>
      </c>
      <c r="T55" s="203">
        <f>AVERAGE(T56:U63)</f>
        <v>10.59</v>
      </c>
      <c r="U55" s="203" t="s">
        <v>132</v>
      </c>
      <c r="W55" s="202">
        <f>AVERAGE(W56:Y63)</f>
        <v>10.265789473684199</v>
      </c>
      <c r="X55" s="137" t="s">
        <v>132</v>
      </c>
      <c r="Y55" s="137" t="s">
        <v>132</v>
      </c>
      <c r="Z55" s="203">
        <f>AVERAGE(Z56:AB63)</f>
        <v>10.32</v>
      </c>
      <c r="AA55" s="137" t="s">
        <v>132</v>
      </c>
      <c r="AB55" s="203" t="s">
        <v>132</v>
      </c>
      <c r="AD55" s="202">
        <f>AVERAGE(AD56:AF63)</f>
        <v>10.2563157894737</v>
      </c>
      <c r="AE55" s="137" t="s">
        <v>132</v>
      </c>
      <c r="AF55" s="137" t="s">
        <v>132</v>
      </c>
      <c r="AG55" s="203">
        <f>AVERAGE(AG56:AH63)</f>
        <v>10.94</v>
      </c>
      <c r="AH55" s="137" t="s">
        <v>132</v>
      </c>
      <c r="AJ55" s="202">
        <f>AVERAGE(AJ56:AK63)</f>
        <v>10.27</v>
      </c>
      <c r="AK55" s="137" t="s">
        <v>132</v>
      </c>
      <c r="AL55" s="203">
        <f>AVERAGE(AL56:AM63)</f>
        <v>10.36</v>
      </c>
      <c r="AM55" s="137" t="s">
        <v>132</v>
      </c>
      <c r="AO55" s="202">
        <f>AVERAGE(AO56:AQ63)</f>
        <v>10.3290476190476</v>
      </c>
      <c r="AP55" s="137" t="s">
        <v>132</v>
      </c>
      <c r="AQ55" s="137" t="s">
        <v>132</v>
      </c>
      <c r="AR55" s="203">
        <f>AVERAGE(AR56:AS63)</f>
        <v>10.29</v>
      </c>
      <c r="AS55" s="137" t="s">
        <v>132</v>
      </c>
      <c r="AU55" s="202">
        <f>AVERAGE(AU56:AW63)</f>
        <v>10.547826086956499</v>
      </c>
      <c r="AV55" s="137" t="s">
        <v>132</v>
      </c>
      <c r="AW55" s="137" t="s">
        <v>132</v>
      </c>
      <c r="AX55" s="203">
        <f>AVERAGE(AX56:AY63)</f>
        <v>10.73</v>
      </c>
      <c r="AY55" s="137" t="s">
        <v>132</v>
      </c>
      <c r="BA55" s="202">
        <f>AVERAGE(BA56:BB63)</f>
        <v>9.34</v>
      </c>
      <c r="BB55" s="137" t="s">
        <v>132</v>
      </c>
      <c r="BC55" s="203">
        <f>AVERAGE(BC56:BC63)</f>
        <v>9.35</v>
      </c>
      <c r="BE55" s="202">
        <f>AVERAGE(BE56:BF63)</f>
        <v>9.5376923076923106</v>
      </c>
      <c r="BF55" s="137" t="s">
        <v>132</v>
      </c>
      <c r="BG55" s="203">
        <f>AVERAGE(BG56:BG63)</f>
        <v>9.49</v>
      </c>
      <c r="BI55" s="202">
        <f>AVERAGE(BI56:BI63)</f>
        <v>10.07</v>
      </c>
      <c r="BJ55" s="203">
        <f>AVERAGE(BJ56:BJ63)</f>
        <v>10.26</v>
      </c>
    </row>
    <row r="56" spans="1:62" x14ac:dyDescent="0.25">
      <c r="A56" s="194">
        <f>SUM(C54:C65)</f>
        <v>6677.82</v>
      </c>
      <c r="B56" s="89"/>
      <c r="C56" s="7">
        <v>1024.08</v>
      </c>
      <c r="D56" s="199">
        <f>R55</f>
        <v>10.46</v>
      </c>
      <c r="E56" s="196">
        <f>T55</f>
        <v>10.59</v>
      </c>
      <c r="F56" s="90">
        <v>0.2</v>
      </c>
      <c r="G56" s="7">
        <f t="shared" si="7"/>
        <v>10.39</v>
      </c>
      <c r="H56" s="7">
        <f t="shared" ref="H56:H64" si="9">D56-G56</f>
        <v>7.0000000000000007E-2</v>
      </c>
      <c r="I56" s="83">
        <f t="shared" si="8"/>
        <v>71.69</v>
      </c>
      <c r="J56" s="80"/>
      <c r="K56" s="83"/>
      <c r="L56" s="103"/>
      <c r="N56" s="137">
        <v>9.34</v>
      </c>
      <c r="O56" s="137">
        <v>10.44</v>
      </c>
      <c r="P56" s="137">
        <v>9.8699999999999992</v>
      </c>
      <c r="R56" s="137">
        <v>10.62</v>
      </c>
      <c r="S56" s="137">
        <v>10.43</v>
      </c>
      <c r="T56" s="137">
        <v>10.57</v>
      </c>
      <c r="U56" s="137">
        <v>10.53</v>
      </c>
      <c r="W56" s="137">
        <v>10.31</v>
      </c>
      <c r="X56" s="137">
        <v>10.36</v>
      </c>
      <c r="Y56" s="137">
        <v>10.08</v>
      </c>
      <c r="Z56" s="137">
        <v>10.43</v>
      </c>
      <c r="AA56" s="137">
        <v>10.39</v>
      </c>
      <c r="AB56" s="137"/>
      <c r="AD56" s="137">
        <v>10.029999999999999</v>
      </c>
      <c r="AE56" s="137">
        <v>10.119999999999999</v>
      </c>
      <c r="AF56" s="137">
        <v>10.48</v>
      </c>
      <c r="AG56" s="137">
        <v>10.52</v>
      </c>
      <c r="AH56" s="137">
        <v>10.96</v>
      </c>
      <c r="AJ56" s="137">
        <v>9.77</v>
      </c>
      <c r="AK56" s="137">
        <v>10.210000000000001</v>
      </c>
      <c r="AL56" s="137">
        <v>9.7200000000000006</v>
      </c>
      <c r="AM56" s="137">
        <v>10.72</v>
      </c>
      <c r="AO56" s="137">
        <v>10.58</v>
      </c>
      <c r="AP56" s="137">
        <v>10.43</v>
      </c>
      <c r="AQ56" s="137">
        <v>9.93</v>
      </c>
      <c r="AR56" s="137">
        <v>10.4</v>
      </c>
      <c r="AS56" s="137">
        <v>10.39</v>
      </c>
      <c r="AU56" s="137" t="s">
        <v>145</v>
      </c>
      <c r="AV56" s="137">
        <v>10.92</v>
      </c>
      <c r="AW56" s="137">
        <v>10.210000000000001</v>
      </c>
      <c r="AX56" s="137">
        <v>10.31</v>
      </c>
      <c r="AY56" s="137">
        <v>10.9</v>
      </c>
      <c r="BA56" s="137">
        <v>9.23</v>
      </c>
      <c r="BB56" s="137">
        <v>9.17</v>
      </c>
      <c r="BC56" s="137">
        <v>9.4600000000000009</v>
      </c>
      <c r="BE56" s="137">
        <v>9.65</v>
      </c>
      <c r="BF56" s="137">
        <v>9.23</v>
      </c>
      <c r="BG56" s="137">
        <v>9.4</v>
      </c>
      <c r="BI56" s="137">
        <v>10.14</v>
      </c>
      <c r="BJ56" s="137">
        <v>10.26</v>
      </c>
    </row>
    <row r="57" spans="1:62" x14ac:dyDescent="0.25">
      <c r="A57" s="102"/>
      <c r="B57" s="89"/>
      <c r="C57" s="7">
        <v>859.82</v>
      </c>
      <c r="D57" s="199">
        <f>W55</f>
        <v>10.27</v>
      </c>
      <c r="E57" s="196">
        <f>Z55</f>
        <v>10.32</v>
      </c>
      <c r="F57" s="90">
        <v>0.2</v>
      </c>
      <c r="G57" s="7">
        <f t="shared" si="7"/>
        <v>10.119999999999999</v>
      </c>
      <c r="H57" s="7">
        <f t="shared" si="9"/>
        <v>0.15</v>
      </c>
      <c r="I57" s="83">
        <f t="shared" si="8"/>
        <v>128.97</v>
      </c>
      <c r="J57" s="80"/>
      <c r="K57" s="83"/>
      <c r="L57" s="103"/>
      <c r="N57" s="137">
        <v>9.65</v>
      </c>
      <c r="O57" s="137">
        <v>9.94</v>
      </c>
      <c r="P57" s="137">
        <v>9.81</v>
      </c>
      <c r="R57" s="137">
        <v>10.6</v>
      </c>
      <c r="S57" s="137">
        <v>10.31</v>
      </c>
      <c r="T57" s="137">
        <v>10.62</v>
      </c>
      <c r="U57" s="137">
        <v>10.35</v>
      </c>
      <c r="W57" s="137">
        <v>10.4</v>
      </c>
      <c r="X57" s="137">
        <v>10.210000000000001</v>
      </c>
      <c r="Y57" s="137">
        <v>10.31</v>
      </c>
      <c r="Z57" s="74">
        <v>10.28</v>
      </c>
      <c r="AA57" s="137">
        <v>10.23</v>
      </c>
      <c r="AB57" s="137"/>
      <c r="AD57" s="137">
        <v>10.02</v>
      </c>
      <c r="AE57" s="137">
        <v>10.119999999999999</v>
      </c>
      <c r="AF57" s="137">
        <v>10.5</v>
      </c>
      <c r="AG57" s="74">
        <v>10.73</v>
      </c>
      <c r="AH57" s="137">
        <v>10.91</v>
      </c>
      <c r="AJ57" s="137">
        <v>9.83</v>
      </c>
      <c r="AK57" s="137">
        <v>10.37</v>
      </c>
      <c r="AL57" s="74">
        <v>9.7200000000000006</v>
      </c>
      <c r="AM57" s="137">
        <v>10.66</v>
      </c>
      <c r="AO57" s="137">
        <v>10.54</v>
      </c>
      <c r="AP57" s="137">
        <v>10.39</v>
      </c>
      <c r="AQ57" s="137">
        <v>9.91</v>
      </c>
      <c r="AR57" s="74">
        <v>10.44</v>
      </c>
      <c r="AS57" s="137">
        <v>10.09</v>
      </c>
      <c r="AU57" s="137">
        <v>10.33</v>
      </c>
      <c r="AV57" s="137">
        <v>10.15</v>
      </c>
      <c r="AW57" s="137">
        <v>10.97</v>
      </c>
      <c r="AX57" s="74">
        <v>10.26</v>
      </c>
      <c r="AY57" s="137">
        <v>10.85</v>
      </c>
      <c r="BA57" s="137">
        <v>9.3800000000000008</v>
      </c>
      <c r="BB57" s="137">
        <v>9.33</v>
      </c>
      <c r="BC57" s="137">
        <v>9.34</v>
      </c>
      <c r="BE57" s="137">
        <v>9.64</v>
      </c>
      <c r="BF57" s="137">
        <v>9.42</v>
      </c>
      <c r="BG57" s="137">
        <v>9.64</v>
      </c>
      <c r="BI57" s="137">
        <v>10.050000000000001</v>
      </c>
      <c r="BJ57" s="137"/>
    </row>
    <row r="58" spans="1:62" x14ac:dyDescent="0.25">
      <c r="A58" s="102"/>
      <c r="B58" s="89"/>
      <c r="C58" s="7">
        <v>1528.35</v>
      </c>
      <c r="D58" s="199">
        <f>AD55</f>
        <v>10.26</v>
      </c>
      <c r="E58" s="196">
        <f>AG55</f>
        <v>10.94</v>
      </c>
      <c r="F58" s="90">
        <v>0.2</v>
      </c>
      <c r="G58" s="7">
        <f t="shared" si="7"/>
        <v>10.74</v>
      </c>
      <c r="H58" s="7">
        <f t="shared" si="9"/>
        <v>-0.48</v>
      </c>
      <c r="I58" s="83"/>
      <c r="J58" s="80">
        <f>H58*C58</f>
        <v>-733.60799999999995</v>
      </c>
      <c r="K58" s="83"/>
      <c r="L58" s="103"/>
      <c r="N58" s="137">
        <v>9.91</v>
      </c>
      <c r="O58" s="137">
        <v>10.46</v>
      </c>
      <c r="P58" s="137">
        <v>9.7200000000000006</v>
      </c>
      <c r="R58" s="137">
        <v>10.67</v>
      </c>
      <c r="S58" s="137">
        <v>10.3</v>
      </c>
      <c r="T58" s="137">
        <v>10.66</v>
      </c>
      <c r="U58" s="137">
        <v>10.210000000000001</v>
      </c>
      <c r="W58" s="137">
        <v>10.08</v>
      </c>
      <c r="X58" s="137">
        <v>10.31</v>
      </c>
      <c r="Y58" s="137">
        <v>10.14</v>
      </c>
      <c r="Z58" s="137">
        <v>10.38</v>
      </c>
      <c r="AA58" s="137">
        <v>10.44</v>
      </c>
      <c r="AB58" s="137"/>
      <c r="AD58" s="137">
        <v>10.65</v>
      </c>
      <c r="AE58" s="137">
        <v>9.98</v>
      </c>
      <c r="AF58" s="137">
        <v>10.47</v>
      </c>
      <c r="AG58" s="137">
        <v>10.56</v>
      </c>
      <c r="AH58" s="137">
        <v>10.93</v>
      </c>
      <c r="AJ58" s="137">
        <v>9.85</v>
      </c>
      <c r="AK58" s="137">
        <v>10.41</v>
      </c>
      <c r="AL58" s="137">
        <v>10.14</v>
      </c>
      <c r="AM58" s="137">
        <v>10.56</v>
      </c>
      <c r="AO58" s="137">
        <v>10.43</v>
      </c>
      <c r="AP58" s="137">
        <v>10.35</v>
      </c>
      <c r="AQ58" s="137">
        <v>9.93</v>
      </c>
      <c r="AR58" s="137">
        <v>10.31</v>
      </c>
      <c r="AS58" s="137">
        <v>10.37</v>
      </c>
      <c r="AU58" s="137">
        <v>10.95</v>
      </c>
      <c r="AV58" s="137">
        <v>10.28</v>
      </c>
      <c r="AW58" s="137">
        <v>10.89</v>
      </c>
      <c r="AX58" s="137">
        <v>10.51</v>
      </c>
      <c r="AY58" s="137">
        <v>10.97</v>
      </c>
      <c r="BA58" s="137">
        <v>9.4700000000000006</v>
      </c>
      <c r="BB58" s="137">
        <v>9.44</v>
      </c>
      <c r="BC58" s="137">
        <v>9.3699999999999992</v>
      </c>
      <c r="BE58" s="137">
        <v>9.3800000000000008</v>
      </c>
      <c r="BF58" s="137">
        <v>9.92</v>
      </c>
      <c r="BG58" s="137">
        <v>9.44</v>
      </c>
      <c r="BI58" s="137">
        <v>10.06</v>
      </c>
      <c r="BJ58" s="137"/>
    </row>
    <row r="59" spans="1:62" x14ac:dyDescent="0.25">
      <c r="A59" s="102"/>
      <c r="B59" s="89"/>
      <c r="C59" s="7">
        <v>847.82</v>
      </c>
      <c r="D59" s="199">
        <f>AJ55</f>
        <v>10.27</v>
      </c>
      <c r="E59" s="196">
        <f>AL55</f>
        <v>10.36</v>
      </c>
      <c r="F59" s="90">
        <v>0.2</v>
      </c>
      <c r="G59" s="7">
        <f t="shared" si="7"/>
        <v>10.16</v>
      </c>
      <c r="H59" s="7">
        <f t="shared" si="9"/>
        <v>0.11</v>
      </c>
      <c r="I59" s="83">
        <f t="shared" si="8"/>
        <v>93.26</v>
      </c>
      <c r="J59" s="80"/>
      <c r="K59" s="83"/>
      <c r="L59" s="103"/>
      <c r="N59" s="137">
        <v>10.050000000000001</v>
      </c>
      <c r="O59" s="137">
        <v>9.64</v>
      </c>
      <c r="P59" s="137">
        <v>9.98</v>
      </c>
      <c r="R59" s="137">
        <v>10.62</v>
      </c>
      <c r="S59" s="137">
        <v>10.33</v>
      </c>
      <c r="T59" s="137">
        <v>10.76</v>
      </c>
      <c r="U59" s="137">
        <v>10.38</v>
      </c>
      <c r="W59" s="137">
        <v>10.09</v>
      </c>
      <c r="X59" s="137">
        <v>10.210000000000001</v>
      </c>
      <c r="Y59" s="137"/>
      <c r="Z59" s="137">
        <v>10.23</v>
      </c>
      <c r="AA59" s="137">
        <v>10.29</v>
      </c>
      <c r="AB59" s="137"/>
      <c r="AD59" s="137">
        <v>11.07</v>
      </c>
      <c r="AE59" s="137">
        <v>9.9</v>
      </c>
      <c r="AF59" s="137"/>
      <c r="AG59" s="137">
        <v>10.93</v>
      </c>
      <c r="AH59" s="137">
        <v>11.22</v>
      </c>
      <c r="AJ59" s="137">
        <v>9.98</v>
      </c>
      <c r="AK59" s="137">
        <v>10.42</v>
      </c>
      <c r="AL59" s="137">
        <v>10.1</v>
      </c>
      <c r="AM59" s="137">
        <v>10.51</v>
      </c>
      <c r="AO59" s="137">
        <v>10.44</v>
      </c>
      <c r="AP59" s="137">
        <v>10.59</v>
      </c>
      <c r="AQ59" s="137">
        <v>10.01</v>
      </c>
      <c r="AR59" s="137">
        <v>10.44</v>
      </c>
      <c r="AS59" s="137">
        <v>10.130000000000001</v>
      </c>
      <c r="AU59" s="137">
        <v>10.41</v>
      </c>
      <c r="AV59" s="137">
        <v>10.14</v>
      </c>
      <c r="AW59" s="137">
        <v>10.8</v>
      </c>
      <c r="AX59" s="137">
        <v>10.46</v>
      </c>
      <c r="AY59" s="137">
        <v>10.93</v>
      </c>
      <c r="BA59" s="137">
        <v>9.4499999999999993</v>
      </c>
      <c r="BB59" s="137">
        <v>9.36</v>
      </c>
      <c r="BC59" s="137">
        <v>9.24</v>
      </c>
      <c r="BE59" s="137">
        <v>9.74</v>
      </c>
      <c r="BF59" s="137">
        <v>9.7799999999999994</v>
      </c>
      <c r="BG59" s="137"/>
      <c r="BI59" s="137">
        <v>10.029999999999999</v>
      </c>
      <c r="BJ59" s="137"/>
    </row>
    <row r="60" spans="1:62" x14ac:dyDescent="0.25">
      <c r="A60" s="102"/>
      <c r="B60" s="89"/>
      <c r="C60" s="7">
        <v>760.49</v>
      </c>
      <c r="D60" s="199">
        <f>AO55</f>
        <v>10.33</v>
      </c>
      <c r="E60" s="196">
        <f>AR55</f>
        <v>10.29</v>
      </c>
      <c r="F60" s="90">
        <v>0.2</v>
      </c>
      <c r="G60" s="7">
        <f t="shared" si="7"/>
        <v>10.09</v>
      </c>
      <c r="H60" s="7">
        <f t="shared" si="9"/>
        <v>0.24</v>
      </c>
      <c r="I60" s="83">
        <f t="shared" si="8"/>
        <v>182.52</v>
      </c>
      <c r="J60" s="80"/>
      <c r="K60" s="83"/>
      <c r="L60" s="103"/>
      <c r="N60" s="137">
        <v>9.3800000000000008</v>
      </c>
      <c r="O60" s="137"/>
      <c r="P60" s="137">
        <v>9.9700000000000006</v>
      </c>
      <c r="R60" s="137">
        <v>10.59</v>
      </c>
      <c r="S60" s="137">
        <v>10.43</v>
      </c>
      <c r="T60" s="137">
        <v>10.66</v>
      </c>
      <c r="U60" s="137">
        <v>10.61</v>
      </c>
      <c r="W60" s="137">
        <v>10.16</v>
      </c>
      <c r="X60" s="137">
        <v>10.63</v>
      </c>
      <c r="Y60" s="137"/>
      <c r="Z60" s="137">
        <v>10.37</v>
      </c>
      <c r="AA60" s="137"/>
      <c r="AB60" s="137"/>
      <c r="AD60" s="137">
        <v>10.119999999999999</v>
      </c>
      <c r="AE60" s="137">
        <v>9.7799999999999994</v>
      </c>
      <c r="AF60" s="137"/>
      <c r="AG60" s="137">
        <v>10.76</v>
      </c>
      <c r="AH60" s="137">
        <v>11.2</v>
      </c>
      <c r="AJ60" s="137">
        <v>10.18</v>
      </c>
      <c r="AK60" s="137">
        <v>10.52</v>
      </c>
      <c r="AL60" s="137">
        <v>10.34</v>
      </c>
      <c r="AM60" s="137">
        <v>10.46</v>
      </c>
      <c r="AO60" s="137">
        <v>10.55</v>
      </c>
      <c r="AP60" s="137">
        <v>10.33</v>
      </c>
      <c r="AQ60" s="137">
        <v>10.11</v>
      </c>
      <c r="AR60" s="137">
        <v>10.43</v>
      </c>
      <c r="AS60" s="137">
        <v>10.24</v>
      </c>
      <c r="AU60" s="137">
        <v>10.51</v>
      </c>
      <c r="AV60" s="137">
        <v>10.32</v>
      </c>
      <c r="AW60" s="137">
        <v>11.06</v>
      </c>
      <c r="AX60" s="137">
        <v>10.71</v>
      </c>
      <c r="AY60" s="137">
        <v>10.98</v>
      </c>
      <c r="BA60" s="137">
        <v>9.16</v>
      </c>
      <c r="BB60" s="137"/>
      <c r="BC60" s="137"/>
      <c r="BE60" s="137">
        <v>9.26</v>
      </c>
      <c r="BF60" s="137">
        <v>9.9600000000000009</v>
      </c>
      <c r="BG60" s="137"/>
      <c r="BI60" s="137"/>
      <c r="BJ60" s="137"/>
    </row>
    <row r="61" spans="1:62" x14ac:dyDescent="0.25">
      <c r="A61" s="204"/>
      <c r="B61" s="89"/>
      <c r="C61" s="117">
        <v>946.28</v>
      </c>
      <c r="D61" s="199">
        <f>AU55</f>
        <v>10.55</v>
      </c>
      <c r="E61" s="196">
        <f>AX55</f>
        <v>10.73</v>
      </c>
      <c r="F61" s="90">
        <v>0.2</v>
      </c>
      <c r="G61" s="7">
        <f t="shared" si="7"/>
        <v>10.53</v>
      </c>
      <c r="H61" s="7">
        <f t="shared" si="9"/>
        <v>0.02</v>
      </c>
      <c r="I61" s="119">
        <f t="shared" si="8"/>
        <v>18.93</v>
      </c>
      <c r="J61" s="86"/>
      <c r="K61" s="119"/>
      <c r="L61" s="205"/>
      <c r="N61" s="137">
        <v>9.7100000000000009</v>
      </c>
      <c r="O61" s="137"/>
      <c r="P61" s="137"/>
      <c r="R61" s="137">
        <v>10.28</v>
      </c>
      <c r="S61" s="137">
        <v>10.31</v>
      </c>
      <c r="T61" s="137">
        <v>10.91</v>
      </c>
      <c r="U61" s="137">
        <v>10.51</v>
      </c>
      <c r="W61" s="137">
        <v>10.130000000000001</v>
      </c>
      <c r="X61" s="137">
        <v>9.69</v>
      </c>
      <c r="Y61" s="137"/>
      <c r="Z61" s="137">
        <v>10.23</v>
      </c>
      <c r="AA61" s="137"/>
      <c r="AB61" s="137"/>
      <c r="AD61" s="137">
        <v>10.24</v>
      </c>
      <c r="AE61" s="137">
        <v>10.27</v>
      </c>
      <c r="AF61" s="137"/>
      <c r="AG61" s="137">
        <v>11.11</v>
      </c>
      <c r="AH61" s="137">
        <v>11.23</v>
      </c>
      <c r="AJ61" s="137">
        <v>10.3</v>
      </c>
      <c r="AK61" s="137">
        <v>10.51</v>
      </c>
      <c r="AL61" s="137">
        <v>10.28</v>
      </c>
      <c r="AM61" s="137">
        <v>10.41</v>
      </c>
      <c r="AO61" s="137">
        <v>10.39</v>
      </c>
      <c r="AP61" s="137">
        <v>10.4</v>
      </c>
      <c r="AQ61" s="137"/>
      <c r="AR61" s="137">
        <v>10.17</v>
      </c>
      <c r="AS61" s="137">
        <v>10.17</v>
      </c>
      <c r="AU61" s="137">
        <v>10.46</v>
      </c>
      <c r="AV61" s="137">
        <v>10.38</v>
      </c>
      <c r="AW61" s="137">
        <v>11.02</v>
      </c>
      <c r="AX61" s="137">
        <v>10.66</v>
      </c>
      <c r="AY61" s="137">
        <v>10.98</v>
      </c>
      <c r="BA61" s="137">
        <v>9.2899999999999991</v>
      </c>
      <c r="BB61" s="137"/>
      <c r="BC61" s="137"/>
      <c r="BE61" s="137">
        <v>9.41</v>
      </c>
      <c r="BF61" s="137"/>
      <c r="BG61" s="137"/>
      <c r="BI61" s="137"/>
      <c r="BJ61" s="137"/>
    </row>
    <row r="62" spans="1:62" x14ac:dyDescent="0.25">
      <c r="A62" s="204"/>
      <c r="B62" s="89"/>
      <c r="C62" s="117">
        <v>154.1</v>
      </c>
      <c r="D62" s="199">
        <f>BA55</f>
        <v>9.34</v>
      </c>
      <c r="E62" s="196">
        <f>BC55</f>
        <v>9.35</v>
      </c>
      <c r="F62" s="90">
        <v>0.2</v>
      </c>
      <c r="G62" s="7">
        <f t="shared" si="7"/>
        <v>9.15</v>
      </c>
      <c r="H62" s="7">
        <f t="shared" si="9"/>
        <v>0.19</v>
      </c>
      <c r="I62" s="119">
        <f t="shared" si="8"/>
        <v>29.28</v>
      </c>
      <c r="J62" s="86"/>
      <c r="K62" s="119"/>
      <c r="L62" s="205"/>
      <c r="N62" s="137">
        <v>9.7799999999999994</v>
      </c>
      <c r="O62" s="137"/>
      <c r="P62" s="137"/>
      <c r="R62" s="137">
        <v>10.57</v>
      </c>
      <c r="S62" s="137"/>
      <c r="T62" s="137">
        <v>10.68</v>
      </c>
      <c r="U62" s="137">
        <v>10.47</v>
      </c>
      <c r="W62" s="137">
        <v>10.43</v>
      </c>
      <c r="X62" s="137">
        <v>10.87</v>
      </c>
      <c r="Y62" s="137"/>
      <c r="Z62" s="137">
        <v>10.199999999999999</v>
      </c>
      <c r="AA62" s="137"/>
      <c r="AB62" s="137"/>
      <c r="AD62" s="137">
        <v>10.25</v>
      </c>
      <c r="AE62" s="137">
        <v>10.27</v>
      </c>
      <c r="AF62" s="137"/>
      <c r="AG62" s="137">
        <v>10.94</v>
      </c>
      <c r="AH62" s="137">
        <v>10.99</v>
      </c>
      <c r="AJ62" s="137">
        <v>10.31</v>
      </c>
      <c r="AK62" s="137">
        <v>10.56</v>
      </c>
      <c r="AL62" s="137">
        <v>10.73</v>
      </c>
      <c r="AM62" s="137"/>
      <c r="AO62" s="137">
        <v>10.51</v>
      </c>
      <c r="AP62" s="137">
        <v>10.53</v>
      </c>
      <c r="AQ62" s="137"/>
      <c r="AR62" s="137">
        <v>10.4</v>
      </c>
      <c r="AS62" s="137">
        <v>10.23</v>
      </c>
      <c r="AU62" s="137">
        <v>10.19</v>
      </c>
      <c r="AV62" s="137">
        <v>10.25</v>
      </c>
      <c r="AW62" s="137">
        <v>10.76</v>
      </c>
      <c r="AX62" s="137">
        <v>10.89</v>
      </c>
      <c r="AY62" s="137"/>
      <c r="BA62" s="137">
        <v>9.4</v>
      </c>
      <c r="BB62" s="137"/>
      <c r="BC62" s="137"/>
      <c r="BE62" s="137">
        <v>9.1999999999999993</v>
      </c>
      <c r="BF62" s="137"/>
      <c r="BG62" s="137"/>
      <c r="BI62" s="137"/>
      <c r="BJ62" s="137"/>
    </row>
    <row r="63" spans="1:62" x14ac:dyDescent="0.25">
      <c r="A63" s="204"/>
      <c r="B63" s="89"/>
      <c r="C63" s="117">
        <v>79.55</v>
      </c>
      <c r="D63" s="199">
        <f>BE55</f>
        <v>9.5399999999999991</v>
      </c>
      <c r="E63" s="196">
        <f>BG55</f>
        <v>9.49</v>
      </c>
      <c r="F63" s="90">
        <v>0.2</v>
      </c>
      <c r="G63" s="7">
        <f t="shared" si="7"/>
        <v>9.2899999999999991</v>
      </c>
      <c r="H63" s="7">
        <f t="shared" si="9"/>
        <v>0.25</v>
      </c>
      <c r="I63" s="119">
        <f t="shared" si="8"/>
        <v>19.89</v>
      </c>
      <c r="J63" s="86"/>
      <c r="K63" s="119"/>
      <c r="L63" s="205"/>
      <c r="N63" s="137">
        <v>9.64</v>
      </c>
      <c r="O63" s="137"/>
      <c r="P63" s="137"/>
      <c r="R63" s="137">
        <v>10.4</v>
      </c>
      <c r="S63" s="137"/>
      <c r="T63" s="137">
        <v>10.93</v>
      </c>
      <c r="U63" s="137"/>
      <c r="W63" s="137">
        <v>10.28</v>
      </c>
      <c r="X63" s="137">
        <v>10.36</v>
      </c>
      <c r="Y63" s="137"/>
      <c r="Z63" s="137">
        <v>10.36</v>
      </c>
      <c r="AA63" s="137"/>
      <c r="AB63" s="137"/>
      <c r="AD63" s="137">
        <v>10.18</v>
      </c>
      <c r="AE63" s="137">
        <v>10.42</v>
      </c>
      <c r="AF63" s="137"/>
      <c r="AG63" s="137">
        <v>11.13</v>
      </c>
      <c r="AH63" s="137"/>
      <c r="AJ63" s="137">
        <v>10.52</v>
      </c>
      <c r="AK63" s="137">
        <v>10.58</v>
      </c>
      <c r="AL63" s="137">
        <v>10.68</v>
      </c>
      <c r="AM63" s="137"/>
      <c r="AO63" s="137">
        <v>10.31</v>
      </c>
      <c r="AP63" s="137">
        <v>10.25</v>
      </c>
      <c r="AQ63" s="137"/>
      <c r="AR63" s="137">
        <v>10.119999999999999</v>
      </c>
      <c r="AS63" s="137"/>
      <c r="AU63" s="137">
        <v>10.33</v>
      </c>
      <c r="AV63" s="137">
        <v>10.55</v>
      </c>
      <c r="AW63" s="137">
        <v>10.72</v>
      </c>
      <c r="AX63" s="137">
        <v>10.84</v>
      </c>
      <c r="AY63" s="137"/>
      <c r="BA63" s="137">
        <v>9.4</v>
      </c>
      <c r="BB63" s="137"/>
      <c r="BC63" s="137"/>
      <c r="BE63" s="137">
        <v>9.4</v>
      </c>
      <c r="BF63" s="137"/>
      <c r="BG63" s="137"/>
      <c r="BI63" s="137"/>
      <c r="BJ63" s="137"/>
    </row>
    <row r="64" spans="1:62" x14ac:dyDescent="0.25">
      <c r="A64" s="204"/>
      <c r="B64" s="89"/>
      <c r="C64" s="117">
        <v>118.98</v>
      </c>
      <c r="D64" s="199">
        <f>BI55</f>
        <v>10.07</v>
      </c>
      <c r="E64" s="196">
        <f>BJ55</f>
        <v>10.26</v>
      </c>
      <c r="F64" s="91">
        <v>0.2</v>
      </c>
      <c r="G64" s="7">
        <f t="shared" si="7"/>
        <v>10.06</v>
      </c>
      <c r="H64" s="119">
        <f t="shared" si="9"/>
        <v>0.01</v>
      </c>
      <c r="I64" s="119">
        <f t="shared" si="8"/>
        <v>1.19</v>
      </c>
      <c r="J64" s="86"/>
      <c r="K64" s="119"/>
      <c r="L64" s="205"/>
    </row>
    <row r="65" spans="1:12" ht="15.75" thickBot="1" x14ac:dyDescent="0.3">
      <c r="A65" s="247"/>
      <c r="B65" s="248"/>
      <c r="C65" s="249"/>
      <c r="D65" s="250"/>
      <c r="E65" s="249"/>
      <c r="F65" s="248"/>
      <c r="G65" s="249"/>
      <c r="H65" s="251"/>
      <c r="I65" s="251"/>
      <c r="J65" s="252"/>
      <c r="K65" s="266">
        <f>SUM(I54:I65)</f>
        <v>603.07000000000005</v>
      </c>
      <c r="L65" s="181">
        <f>SUM(J54:J65)*(-1)</f>
        <v>733.60799999999995</v>
      </c>
    </row>
    <row r="66" spans="1:12" x14ac:dyDescent="0.25">
      <c r="K66" s="73">
        <f>K65+K53+K41+K38+K26+K23</f>
        <v>18882.88</v>
      </c>
      <c r="L66" s="73">
        <f>L65+L53+L41+L38+L26+L23</f>
        <v>838.96</v>
      </c>
    </row>
    <row r="67" spans="1:12" x14ac:dyDescent="0.25">
      <c r="I67" s="73">
        <f>SUM(I15:I65)</f>
        <v>18882.88</v>
      </c>
      <c r="J67" s="73">
        <f>SUM(J15:J65)</f>
        <v>-838.96</v>
      </c>
    </row>
    <row r="68" spans="1:12" x14ac:dyDescent="0.25">
      <c r="J68" s="122">
        <f>I67+J67</f>
        <v>18043.919999999998</v>
      </c>
      <c r="L68" s="122">
        <f>K66-L66</f>
        <v>18043.919999999998</v>
      </c>
    </row>
  </sheetData>
  <mergeCells count="1">
    <mergeCell ref="A1:I1"/>
  </mergeCells>
  <conditionalFormatting sqref="H15:H19 H24">
    <cfRule type="cellIs" dxfId="6" priority="6" operator="lessThanOrEqual">
      <formula>0</formula>
    </cfRule>
  </conditionalFormatting>
  <conditionalFormatting sqref="H28:H38">
    <cfRule type="cellIs" dxfId="5" priority="4" operator="lessThanOrEqual">
      <formula>0</formula>
    </cfRule>
  </conditionalFormatting>
  <conditionalFormatting sqref="H39">
    <cfRule type="cellIs" dxfId="4" priority="3" operator="lessThanOrEqual">
      <formula>0</formula>
    </cfRule>
  </conditionalFormatting>
  <conditionalFormatting sqref="H42:H48">
    <cfRule type="cellIs" dxfId="3" priority="2" operator="lessThanOrEqual">
      <formula>0</formula>
    </cfRule>
  </conditionalFormatting>
  <conditionalFormatting sqref="H54:H63">
    <cfRule type="cellIs" dxfId="2" priority="1" operator="lessThanOrEqual">
      <formula>0</formula>
    </cfRule>
  </conditionalFormatting>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F100"/>
  <sheetViews>
    <sheetView workbookViewId="0"/>
  </sheetViews>
  <sheetFormatPr defaultRowHeight="15" x14ac:dyDescent="0.25"/>
  <cols>
    <col min="1" max="1" width="13.5703125" customWidth="1"/>
    <col min="3" max="3" width="12.140625" customWidth="1"/>
    <col min="4" max="4" width="12" customWidth="1"/>
    <col min="5" max="5" width="15.5703125" customWidth="1"/>
    <col min="6" max="6" width="11.42578125" customWidth="1"/>
    <col min="7" max="7" width="14.7109375" customWidth="1"/>
    <col min="8" max="8" width="20.85546875" customWidth="1"/>
    <col min="10" max="10" width="10.42578125" customWidth="1"/>
    <col min="14" max="14" width="13.42578125" bestFit="1" customWidth="1"/>
    <col min="20" max="20" width="13.42578125" customWidth="1"/>
    <col min="21" max="21" width="10.140625" bestFit="1" customWidth="1"/>
    <col min="22" max="22" width="12.140625" bestFit="1" customWidth="1"/>
    <col min="42" max="42" width="13.42578125" customWidth="1"/>
    <col min="43" max="43" width="10.140625" bestFit="1" customWidth="1"/>
    <col min="44" max="44" width="12.140625" bestFit="1" customWidth="1"/>
    <col min="63" max="63" width="13.42578125" customWidth="1"/>
    <col min="64" max="64" width="10.140625" bestFit="1" customWidth="1"/>
    <col min="65" max="65" width="12.140625" bestFit="1" customWidth="1"/>
  </cols>
  <sheetData>
    <row r="1" spans="1:76" x14ac:dyDescent="0.25">
      <c r="A1" s="120" t="s">
        <v>69</v>
      </c>
      <c r="T1" s="120" t="s">
        <v>81</v>
      </c>
      <c r="AP1" s="120" t="s">
        <v>87</v>
      </c>
      <c r="BK1" s="120" t="s">
        <v>93</v>
      </c>
    </row>
    <row r="2" spans="1:76" ht="15.75" thickBot="1" x14ac:dyDescent="0.3"/>
    <row r="3" spans="1:76" ht="60" x14ac:dyDescent="0.25">
      <c r="A3" s="10"/>
      <c r="B3" s="2"/>
      <c r="C3" s="9" t="s">
        <v>76</v>
      </c>
      <c r="D3" s="2" t="s">
        <v>70</v>
      </c>
      <c r="E3" s="9" t="s">
        <v>71</v>
      </c>
      <c r="F3" s="9" t="s">
        <v>72</v>
      </c>
      <c r="G3" s="9" t="s">
        <v>73</v>
      </c>
      <c r="H3" s="9" t="s">
        <v>74</v>
      </c>
      <c r="I3" s="82" t="s">
        <v>75</v>
      </c>
      <c r="J3" s="82" t="s">
        <v>78</v>
      </c>
      <c r="K3" s="79"/>
      <c r="L3" s="3"/>
      <c r="T3" s="10"/>
      <c r="U3" s="2"/>
      <c r="V3" s="9" t="s">
        <v>76</v>
      </c>
      <c r="W3" s="2" t="s">
        <v>70</v>
      </c>
      <c r="X3" s="9" t="s">
        <v>71</v>
      </c>
      <c r="Y3" s="9" t="s">
        <v>72</v>
      </c>
      <c r="Z3" s="9" t="s">
        <v>73</v>
      </c>
      <c r="AA3" s="9" t="s">
        <v>74</v>
      </c>
      <c r="AB3" s="82" t="s">
        <v>75</v>
      </c>
      <c r="AC3" s="82" t="s">
        <v>78</v>
      </c>
      <c r="AD3" s="79"/>
      <c r="AE3" s="3"/>
      <c r="AP3" s="10"/>
      <c r="AQ3" s="2"/>
      <c r="AR3" s="9" t="s">
        <v>76</v>
      </c>
      <c r="AS3" s="2" t="s">
        <v>70</v>
      </c>
      <c r="AT3" s="9" t="s">
        <v>71</v>
      </c>
      <c r="AU3" s="9" t="s">
        <v>72</v>
      </c>
      <c r="AV3" s="9" t="s">
        <v>73</v>
      </c>
      <c r="AW3" s="9" t="s">
        <v>74</v>
      </c>
      <c r="AX3" s="82" t="s">
        <v>75</v>
      </c>
      <c r="AY3" s="82" t="s">
        <v>78</v>
      </c>
      <c r="AZ3" s="79"/>
      <c r="BA3" s="3"/>
      <c r="BK3" s="10"/>
      <c r="BL3" s="2"/>
      <c r="BM3" s="9" t="s">
        <v>76</v>
      </c>
      <c r="BN3" s="2" t="s">
        <v>70</v>
      </c>
      <c r="BO3" s="9" t="s">
        <v>71</v>
      </c>
      <c r="BP3" s="9" t="s">
        <v>72</v>
      </c>
      <c r="BQ3" s="9" t="s">
        <v>73</v>
      </c>
      <c r="BR3" s="9" t="s">
        <v>74</v>
      </c>
      <c r="BS3" s="82" t="s">
        <v>75</v>
      </c>
      <c r="BT3" s="82" t="s">
        <v>78</v>
      </c>
      <c r="BU3" s="79"/>
      <c r="BV3" s="3"/>
    </row>
    <row r="4" spans="1:76" x14ac:dyDescent="0.25">
      <c r="A4" s="11"/>
      <c r="B4" s="1"/>
      <c r="C4" s="1" t="s">
        <v>27</v>
      </c>
      <c r="D4" s="1"/>
      <c r="E4" s="1"/>
      <c r="F4" s="1" t="s">
        <v>77</v>
      </c>
      <c r="G4" s="1"/>
      <c r="H4" s="1"/>
      <c r="I4" s="80" t="s">
        <v>25</v>
      </c>
      <c r="J4" s="80" t="s">
        <v>25</v>
      </c>
      <c r="K4" s="80"/>
      <c r="L4" s="4"/>
      <c r="M4" s="73"/>
      <c r="T4" s="11"/>
      <c r="U4" s="1"/>
      <c r="V4" s="1" t="s">
        <v>27</v>
      </c>
      <c r="W4" s="1"/>
      <c r="X4" s="1"/>
      <c r="Y4" s="1" t="s">
        <v>77</v>
      </c>
      <c r="Z4" s="1"/>
      <c r="AA4" s="1"/>
      <c r="AB4" s="80" t="s">
        <v>25</v>
      </c>
      <c r="AC4" s="80" t="s">
        <v>25</v>
      </c>
      <c r="AD4" s="80"/>
      <c r="AE4" s="4"/>
      <c r="AF4" s="73"/>
      <c r="AP4" s="11"/>
      <c r="AQ4" s="1"/>
      <c r="AR4" s="1" t="s">
        <v>27</v>
      </c>
      <c r="AS4" s="1"/>
      <c r="AT4" s="1"/>
      <c r="AU4" s="1" t="s">
        <v>77</v>
      </c>
      <c r="AV4" s="1"/>
      <c r="AW4" s="1"/>
      <c r="AX4" s="80" t="s">
        <v>25</v>
      </c>
      <c r="AY4" s="80" t="s">
        <v>25</v>
      </c>
      <c r="AZ4" s="80"/>
      <c r="BA4" s="4"/>
      <c r="BB4" s="73"/>
      <c r="BK4" s="11"/>
      <c r="BL4" s="1"/>
      <c r="BM4" s="1" t="s">
        <v>27</v>
      </c>
      <c r="BN4" s="1"/>
      <c r="BO4" s="1"/>
      <c r="BP4" s="1" t="s">
        <v>77</v>
      </c>
      <c r="BQ4" s="1"/>
      <c r="BR4" s="1"/>
      <c r="BS4" s="80" t="s">
        <v>25</v>
      </c>
      <c r="BT4" s="80" t="s">
        <v>25</v>
      </c>
      <c r="BU4" s="80"/>
      <c r="BV4" s="4"/>
      <c r="BW4" s="73"/>
    </row>
    <row r="5" spans="1:76" ht="15.75" thickBot="1" x14ac:dyDescent="0.3">
      <c r="A5" s="84"/>
      <c r="B5" s="85"/>
      <c r="C5" s="85"/>
      <c r="D5" s="85"/>
      <c r="E5" s="85"/>
      <c r="F5" s="85"/>
      <c r="G5" s="85"/>
      <c r="H5" s="85"/>
      <c r="I5" s="86"/>
      <c r="J5" s="86"/>
      <c r="K5" s="86"/>
      <c r="L5" s="87"/>
      <c r="M5" s="73"/>
      <c r="T5" s="84"/>
      <c r="U5" s="85"/>
      <c r="V5" s="85"/>
      <c r="W5" s="85"/>
      <c r="X5" s="85"/>
      <c r="Y5" s="85"/>
      <c r="Z5" s="85"/>
      <c r="AA5" s="85"/>
      <c r="AB5" s="86"/>
      <c r="AC5" s="86"/>
      <c r="AD5" s="86"/>
      <c r="AE5" s="87"/>
      <c r="AF5" s="73"/>
      <c r="AP5" s="84"/>
      <c r="AQ5" s="85"/>
      <c r="AR5" s="85"/>
      <c r="AS5" s="85"/>
      <c r="AT5" s="85"/>
      <c r="AU5" s="85"/>
      <c r="AV5" s="85"/>
      <c r="AW5" s="85"/>
      <c r="AX5" s="86"/>
      <c r="AY5" s="86"/>
      <c r="AZ5" s="86"/>
      <c r="BA5" s="87"/>
      <c r="BB5" s="73"/>
      <c r="BK5" s="84"/>
      <c r="BL5" s="85"/>
      <c r="BM5" s="85"/>
      <c r="BN5" s="85"/>
      <c r="BO5" s="85"/>
      <c r="BP5" s="85"/>
      <c r="BQ5" s="85"/>
      <c r="BR5" s="85"/>
      <c r="BS5" s="86"/>
      <c r="BT5" s="86"/>
      <c r="BU5" s="86"/>
      <c r="BV5" s="87"/>
      <c r="BW5" s="73"/>
    </row>
    <row r="6" spans="1:76" ht="30" x14ac:dyDescent="0.25">
      <c r="A6" s="95" t="s">
        <v>0</v>
      </c>
      <c r="B6" s="96" t="s">
        <v>1</v>
      </c>
      <c r="C6" s="97">
        <v>518.14</v>
      </c>
      <c r="D6" s="98">
        <f>(13.47+12.65+13.15+12.86+13.4+13.34+13.39+12.44+12.86)/9</f>
        <v>13.06</v>
      </c>
      <c r="E6" s="97">
        <f>(14.36+14.49+14.64+14.64)/4</f>
        <v>14.53</v>
      </c>
      <c r="F6" s="97">
        <f>(0.5+0.46+0.31+0.11+0.08+0.04)</f>
        <v>1.5</v>
      </c>
      <c r="G6" s="97">
        <f>E6-F6</f>
        <v>13.03</v>
      </c>
      <c r="H6" s="97">
        <f>D6-G6</f>
        <v>0.03</v>
      </c>
      <c r="I6" s="99">
        <f>H6*C6</f>
        <v>15.54</v>
      </c>
      <c r="J6" s="100"/>
      <c r="K6" s="100"/>
      <c r="L6" s="101"/>
      <c r="T6" s="95" t="s">
        <v>0</v>
      </c>
      <c r="U6" s="96" t="s">
        <v>7</v>
      </c>
      <c r="V6" s="97">
        <v>579.74</v>
      </c>
      <c r="W6" s="98">
        <f>(13.04+13+13.29+13.31+13.26+13.29)/6</f>
        <v>13.2</v>
      </c>
      <c r="X6" s="97">
        <f>(14.22+13.96+13.9+14.22+13.77+13.67)/6</f>
        <v>13.96</v>
      </c>
      <c r="Y6" s="96">
        <f t="shared" ref="Y6:Y11" si="0">0.05+0.11+0.4+0.45+0.5</f>
        <v>1.51</v>
      </c>
      <c r="Z6" s="97">
        <f t="shared" ref="Z6:Z13" si="1">X6-Y6</f>
        <v>12.45</v>
      </c>
      <c r="AA6" s="97">
        <f t="shared" ref="AA6:AA13" si="2">W6-Z6</f>
        <v>0.75</v>
      </c>
      <c r="AB6" s="99">
        <f t="shared" ref="AB6:AB11" si="3">AA6*V6</f>
        <v>434.81</v>
      </c>
      <c r="AC6" s="100"/>
      <c r="AD6" s="100"/>
      <c r="AE6" s="101"/>
      <c r="AF6" s="7"/>
      <c r="AP6" s="95" t="s">
        <v>0</v>
      </c>
      <c r="AQ6" s="96" t="s">
        <v>7</v>
      </c>
      <c r="AR6" s="97">
        <v>484.63</v>
      </c>
      <c r="AS6" s="98">
        <f>(13.17+13.22+13.2+12.97)/4</f>
        <v>13.14</v>
      </c>
      <c r="AT6" s="97">
        <f>(14.03+13.79+13.61+13.86+13.56+13.46)/6</f>
        <v>13.72</v>
      </c>
      <c r="AU6" s="96">
        <f>1.51</f>
        <v>1.51</v>
      </c>
      <c r="AV6" s="97">
        <f>AT6-AU6</f>
        <v>12.21</v>
      </c>
      <c r="AW6" s="97">
        <f>AS6-AV6</f>
        <v>0.93</v>
      </c>
      <c r="AX6" s="99">
        <f>AW6*AR6</f>
        <v>450.71</v>
      </c>
      <c r="AY6" s="100"/>
      <c r="AZ6" s="100"/>
      <c r="BA6" s="101"/>
      <c r="BB6" s="7"/>
      <c r="BK6" s="95" t="s">
        <v>0</v>
      </c>
      <c r="BL6" s="96" t="s">
        <v>1</v>
      </c>
      <c r="BM6" s="97">
        <v>422.08</v>
      </c>
      <c r="BN6" s="98">
        <f>(13.72+13.71+13.71)/3</f>
        <v>13.71</v>
      </c>
      <c r="BO6" s="97">
        <f>(13.2+13.39+13.3+13.41+13.5+13.53)/6</f>
        <v>13.39</v>
      </c>
      <c r="BP6" s="96">
        <f t="shared" ref="BP6:BP11" si="4">1.5</f>
        <v>1.5</v>
      </c>
      <c r="BQ6" s="97">
        <f t="shared" ref="BQ6:BQ11" si="5">BO6-BP6</f>
        <v>11.89</v>
      </c>
      <c r="BR6" s="97">
        <f t="shared" ref="BR6:BR11" si="6">BN6-BQ6</f>
        <v>1.82</v>
      </c>
      <c r="BS6" s="99">
        <f t="shared" ref="BS6:BS11" si="7">BR6*BM6</f>
        <v>768.19</v>
      </c>
      <c r="BT6" s="100"/>
      <c r="BU6" s="100"/>
      <c r="BV6" s="101"/>
      <c r="BW6" s="7"/>
    </row>
    <row r="7" spans="1:76" x14ac:dyDescent="0.25">
      <c r="A7" s="102">
        <f>8394.8138</f>
        <v>8394.8137999999999</v>
      </c>
      <c r="B7" s="1" t="s">
        <v>1</v>
      </c>
      <c r="C7" s="7">
        <v>435.74</v>
      </c>
      <c r="D7" s="77">
        <f>(13.38+13.21+13.46+13.32+13.49+13.32)/6</f>
        <v>13.36</v>
      </c>
      <c r="E7" s="7">
        <f>(14.45+14.63)/2</f>
        <v>14.54</v>
      </c>
      <c r="F7" s="1">
        <f>(0.5+0.46+0.31+0.11+0.08+0.04)</f>
        <v>1.5</v>
      </c>
      <c r="G7" s="7">
        <f t="shared" ref="G7:G25" si="8">E7-F7</f>
        <v>13.04</v>
      </c>
      <c r="H7" s="7">
        <f t="shared" ref="H7:H24" si="9">D7-G7</f>
        <v>0.32</v>
      </c>
      <c r="I7" s="83">
        <f t="shared" ref="I7:I12" si="10">H7*C7</f>
        <v>139.44</v>
      </c>
      <c r="J7" s="80"/>
      <c r="K7" s="80"/>
      <c r="L7" s="103"/>
      <c r="T7" s="102">
        <f>3740.4173</f>
        <v>3740.4173000000001</v>
      </c>
      <c r="U7" s="1" t="s">
        <v>82</v>
      </c>
      <c r="V7" s="7">
        <v>700.98</v>
      </c>
      <c r="W7" s="77">
        <f>(12.95+13.14+13.03+13.21)/4</f>
        <v>13.08</v>
      </c>
      <c r="X7" s="7">
        <f>(13.88+13.88+13.6+13.67+13.69)/5</f>
        <v>13.74</v>
      </c>
      <c r="Y7" s="1">
        <f t="shared" si="0"/>
        <v>1.51</v>
      </c>
      <c r="Z7" s="7">
        <f t="shared" si="1"/>
        <v>12.23</v>
      </c>
      <c r="AA7" s="7">
        <f t="shared" si="2"/>
        <v>0.85</v>
      </c>
      <c r="AB7" s="83">
        <f t="shared" si="3"/>
        <v>595.83000000000004</v>
      </c>
      <c r="AC7" s="80"/>
      <c r="AD7" s="80"/>
      <c r="AE7" s="103"/>
      <c r="AP7" s="102">
        <v>3364.8362999999999</v>
      </c>
      <c r="AQ7" s="1"/>
      <c r="AR7" s="7">
        <v>1019.1</v>
      </c>
      <c r="AS7" s="77">
        <f>(13.07+12.97+13.31+13.18+13.1+12.83)/6</f>
        <v>13.08</v>
      </c>
      <c r="AT7" s="7">
        <f>(13.42+13.56+13.3+13.55+13.41+13.54+13.55+13.54+13.3)/9</f>
        <v>13.46</v>
      </c>
      <c r="AU7" s="1">
        <f>1.51</f>
        <v>1.51</v>
      </c>
      <c r="AV7" s="7">
        <f>AT7-AU7</f>
        <v>11.95</v>
      </c>
      <c r="AW7" s="7">
        <f>AS7-AV7</f>
        <v>1.1299999999999999</v>
      </c>
      <c r="AX7" s="83">
        <f>AW7*AR7</f>
        <v>1151.58</v>
      </c>
      <c r="AY7" s="80"/>
      <c r="AZ7" s="80"/>
      <c r="BA7" s="103"/>
      <c r="BK7" s="102">
        <v>4660.3141999999998</v>
      </c>
      <c r="BL7" s="1"/>
      <c r="BM7" s="7">
        <v>327.33</v>
      </c>
      <c r="BN7" s="77">
        <f>(13.72+13.71+13.71)/3</f>
        <v>13.71</v>
      </c>
      <c r="BO7" s="7">
        <f>(13.66+13.7)/2</f>
        <v>13.68</v>
      </c>
      <c r="BP7" s="1">
        <f t="shared" si="4"/>
        <v>1.5</v>
      </c>
      <c r="BQ7" s="7">
        <f t="shared" si="5"/>
        <v>12.18</v>
      </c>
      <c r="BR7" s="7">
        <f t="shared" si="6"/>
        <v>1.53</v>
      </c>
      <c r="BS7" s="83">
        <f t="shared" si="7"/>
        <v>500.81</v>
      </c>
      <c r="BT7" s="80"/>
      <c r="BU7" s="80"/>
      <c r="BV7" s="103"/>
    </row>
    <row r="8" spans="1:76" x14ac:dyDescent="0.25">
      <c r="A8" s="102"/>
      <c r="B8" s="1" t="s">
        <v>1</v>
      </c>
      <c r="C8" s="7">
        <v>317.18</v>
      </c>
      <c r="D8" s="77">
        <f>(12.11+13.33+13.48+13.44)/4</f>
        <v>13.09</v>
      </c>
      <c r="E8" s="7">
        <f>(14.49+14.36+14.6+14.64)/4</f>
        <v>14.52</v>
      </c>
      <c r="F8" s="1">
        <f t="shared" ref="F8:F25" si="11">(0.5+0.46+0.31+0.11+0.08+0.04)</f>
        <v>1.5</v>
      </c>
      <c r="G8" s="7">
        <f t="shared" si="8"/>
        <v>13.02</v>
      </c>
      <c r="H8" s="7">
        <f t="shared" si="9"/>
        <v>7.0000000000000007E-2</v>
      </c>
      <c r="I8" s="83">
        <f t="shared" si="10"/>
        <v>22.2</v>
      </c>
      <c r="J8" s="80"/>
      <c r="K8" s="80"/>
      <c r="L8" s="103"/>
      <c r="T8" s="102"/>
      <c r="U8" s="1" t="s">
        <v>83</v>
      </c>
      <c r="V8" s="7">
        <v>1115.42</v>
      </c>
      <c r="W8" s="77">
        <f>(13.27+13.24+12.98+13.27+13.26)/5</f>
        <v>13.2</v>
      </c>
      <c r="X8" s="7">
        <f>(13.88+13.88+13.58+13.88+13.64+13.67+13.88)/7</f>
        <v>13.77</v>
      </c>
      <c r="Y8" s="1">
        <f t="shared" si="0"/>
        <v>1.51</v>
      </c>
      <c r="Z8" s="7">
        <f t="shared" si="1"/>
        <v>12.26</v>
      </c>
      <c r="AA8" s="7">
        <f t="shared" si="2"/>
        <v>0.94</v>
      </c>
      <c r="AB8" s="83">
        <f t="shared" si="3"/>
        <v>1048.49</v>
      </c>
      <c r="AC8" s="80"/>
      <c r="AD8" s="80"/>
      <c r="AE8" s="103"/>
      <c r="AP8" s="102"/>
      <c r="AQ8" s="1"/>
      <c r="AR8" s="7">
        <v>1418.58</v>
      </c>
      <c r="AS8" s="77">
        <f>(13.08+13.22+12.91+12.71+12.88+12.75)/6</f>
        <v>12.93</v>
      </c>
      <c r="AT8" s="7">
        <f>(13.3+13.54+13.54+13.4+13.54+13.29+13.4+13.54+13.25+13.54)/10</f>
        <v>13.43</v>
      </c>
      <c r="AU8" s="1">
        <f>1.51</f>
        <v>1.51</v>
      </c>
      <c r="AV8" s="7">
        <f>AT8-AU8</f>
        <v>11.92</v>
      </c>
      <c r="AW8" s="7">
        <f>AS8-AV8</f>
        <v>1.01</v>
      </c>
      <c r="AX8" s="83">
        <f>AW8*AR8</f>
        <v>1432.77</v>
      </c>
      <c r="AY8" s="80"/>
      <c r="AZ8" s="80"/>
      <c r="BA8" s="103"/>
      <c r="BK8" s="102"/>
      <c r="BL8" s="1"/>
      <c r="BM8" s="7">
        <v>863.89</v>
      </c>
      <c r="BN8" s="77">
        <f>(13.9+13.84+13.88+13.8+13.89)/5</f>
        <v>13.86</v>
      </c>
      <c r="BO8" s="7">
        <f>(13.79+14.03+14.03+13.79)/4</f>
        <v>13.91</v>
      </c>
      <c r="BP8" s="1">
        <f t="shared" si="4"/>
        <v>1.5</v>
      </c>
      <c r="BQ8" s="7">
        <f t="shared" si="5"/>
        <v>12.41</v>
      </c>
      <c r="BR8" s="7">
        <f t="shared" si="6"/>
        <v>1.45</v>
      </c>
      <c r="BS8" s="83">
        <f t="shared" si="7"/>
        <v>1252.6400000000001</v>
      </c>
      <c r="BT8" s="80"/>
      <c r="BU8" s="80"/>
      <c r="BV8" s="103"/>
    </row>
    <row r="9" spans="1:76" x14ac:dyDescent="0.25">
      <c r="A9" s="102"/>
      <c r="B9" s="1" t="s">
        <v>1</v>
      </c>
      <c r="C9" s="7">
        <v>759.41</v>
      </c>
      <c r="D9" s="77">
        <f>(13.08+13.2+12.97+13.26+13.44+13.46)/6</f>
        <v>13.24</v>
      </c>
      <c r="E9" s="7">
        <f>(14.3+14.56+14.53+14.45+14.57+14.52+14.32)/7</f>
        <v>14.46</v>
      </c>
      <c r="F9" s="1">
        <f t="shared" si="11"/>
        <v>1.5</v>
      </c>
      <c r="G9" s="7">
        <f t="shared" si="8"/>
        <v>12.96</v>
      </c>
      <c r="H9" s="7">
        <f t="shared" si="9"/>
        <v>0.28000000000000003</v>
      </c>
      <c r="I9" s="83">
        <f t="shared" si="10"/>
        <v>212.63</v>
      </c>
      <c r="J9" s="80"/>
      <c r="K9" s="80"/>
      <c r="L9" s="103"/>
      <c r="T9" s="102"/>
      <c r="U9" s="1" t="s">
        <v>84</v>
      </c>
      <c r="V9" s="7">
        <v>506.04</v>
      </c>
      <c r="W9" s="77">
        <f>(12.85+12.84+12.74+12.85+13.09)/5</f>
        <v>12.87</v>
      </c>
      <c r="X9" s="7">
        <f>(13.88+13.66+13.76+13.88+13.76+13.88+13.87+13.64)/8</f>
        <v>13.79</v>
      </c>
      <c r="Y9" s="1">
        <f t="shared" si="0"/>
        <v>1.51</v>
      </c>
      <c r="Z9" s="7">
        <f t="shared" si="1"/>
        <v>12.28</v>
      </c>
      <c r="AA9" s="7">
        <f t="shared" si="2"/>
        <v>0.59</v>
      </c>
      <c r="AB9" s="83">
        <f t="shared" si="3"/>
        <v>298.56</v>
      </c>
      <c r="AC9" s="80"/>
      <c r="AD9" s="80"/>
      <c r="AE9" s="103"/>
      <c r="AP9" s="102"/>
      <c r="AQ9" s="1"/>
      <c r="AR9" s="7">
        <v>417.99</v>
      </c>
      <c r="AS9" s="77">
        <f>(12.94+12.95+12.61)/3</f>
        <v>12.83</v>
      </c>
      <c r="AT9" s="7">
        <f>(13.4+13.54+13.37+13.54+13.53+13.58+13.58)/7</f>
        <v>13.51</v>
      </c>
      <c r="AU9" s="1">
        <f>1.51</f>
        <v>1.51</v>
      </c>
      <c r="AV9" s="7">
        <f>AT9-AU9</f>
        <v>12</v>
      </c>
      <c r="AW9" s="7">
        <f>AS9-AV9</f>
        <v>0.83</v>
      </c>
      <c r="AX9" s="83">
        <f>AW9*AR9</f>
        <v>346.93</v>
      </c>
      <c r="AY9" s="80"/>
      <c r="AZ9" s="80"/>
      <c r="BA9" s="103"/>
      <c r="BK9" s="102"/>
      <c r="BL9" s="1"/>
      <c r="BM9" s="7">
        <v>645.58000000000004</v>
      </c>
      <c r="BN9" s="77">
        <f>(14.19+14.32+14.18+14.35+14.45+14.36+14.57+14.49)/8</f>
        <v>14.36</v>
      </c>
      <c r="BO9" s="7">
        <f>(14.32+14.37)/2</f>
        <v>14.35</v>
      </c>
      <c r="BP9" s="1">
        <f t="shared" si="4"/>
        <v>1.5</v>
      </c>
      <c r="BQ9" s="7">
        <f t="shared" si="5"/>
        <v>12.85</v>
      </c>
      <c r="BR9" s="7">
        <f t="shared" si="6"/>
        <v>1.51</v>
      </c>
      <c r="BS9" s="83">
        <f t="shared" si="7"/>
        <v>974.83</v>
      </c>
      <c r="BT9" s="80"/>
      <c r="BU9" s="80"/>
      <c r="BV9" s="103"/>
    </row>
    <row r="10" spans="1:76" x14ac:dyDescent="0.25">
      <c r="A10" s="102"/>
      <c r="B10" s="1" t="s">
        <v>1</v>
      </c>
      <c r="C10" s="7">
        <v>402.13</v>
      </c>
      <c r="D10" s="77">
        <f>(13.36+13.34+13.11)/3</f>
        <v>13.27</v>
      </c>
      <c r="E10" s="7">
        <f>(14.4+14.21)/2</f>
        <v>14.31</v>
      </c>
      <c r="F10" s="1">
        <f t="shared" si="11"/>
        <v>1.5</v>
      </c>
      <c r="G10" s="7">
        <f t="shared" si="8"/>
        <v>12.81</v>
      </c>
      <c r="H10" s="7">
        <f t="shared" si="9"/>
        <v>0.46</v>
      </c>
      <c r="I10" s="83">
        <f t="shared" si="10"/>
        <v>184.98</v>
      </c>
      <c r="J10" s="80"/>
      <c r="K10" s="80"/>
      <c r="L10" s="103"/>
      <c r="T10" s="102"/>
      <c r="U10" s="1" t="s">
        <v>85</v>
      </c>
      <c r="V10" s="7">
        <v>383.78</v>
      </c>
      <c r="W10" s="77">
        <f>(12.99+13.31+12.82+12.72)/4</f>
        <v>12.96</v>
      </c>
      <c r="X10" s="7">
        <f>(13.87+13.87+13.73)/3</f>
        <v>13.82</v>
      </c>
      <c r="Y10" s="1">
        <f t="shared" si="0"/>
        <v>1.51</v>
      </c>
      <c r="Z10" s="7">
        <f t="shared" si="1"/>
        <v>12.31</v>
      </c>
      <c r="AA10" s="7">
        <f t="shared" si="2"/>
        <v>0.65</v>
      </c>
      <c r="AB10" s="83">
        <f t="shared" si="3"/>
        <v>249.46</v>
      </c>
      <c r="AC10" s="80"/>
      <c r="AD10" s="80"/>
      <c r="AE10" s="103"/>
      <c r="AP10" s="102"/>
      <c r="AQ10" s="1"/>
      <c r="AR10" s="7"/>
      <c r="AS10" s="77"/>
      <c r="AT10" s="7"/>
      <c r="AU10" s="1"/>
      <c r="AV10" s="7"/>
      <c r="AW10" s="7"/>
      <c r="AX10" s="83"/>
      <c r="AY10" s="80"/>
      <c r="AZ10" s="80"/>
      <c r="BA10" s="103"/>
      <c r="BK10" s="102"/>
      <c r="BL10" s="1"/>
      <c r="BM10" s="7">
        <v>566.37</v>
      </c>
      <c r="BN10" s="77">
        <f>(14.58+14.67+14.56+14.64)/4</f>
        <v>14.61</v>
      </c>
      <c r="BO10" s="7">
        <f>(14.69+14.69+14.82+14.79)/4</f>
        <v>14.75</v>
      </c>
      <c r="BP10" s="1">
        <f t="shared" si="4"/>
        <v>1.5</v>
      </c>
      <c r="BQ10" s="7">
        <f t="shared" si="5"/>
        <v>13.25</v>
      </c>
      <c r="BR10" s="7">
        <f t="shared" si="6"/>
        <v>1.36</v>
      </c>
      <c r="BS10" s="83">
        <f t="shared" si="7"/>
        <v>770.26</v>
      </c>
      <c r="BT10" s="80"/>
      <c r="BU10" s="80"/>
      <c r="BV10" s="103"/>
    </row>
    <row r="11" spans="1:76" x14ac:dyDescent="0.25">
      <c r="A11" s="102"/>
      <c r="B11" s="1" t="s">
        <v>1</v>
      </c>
      <c r="C11" s="7">
        <v>365.71</v>
      </c>
      <c r="D11" s="77">
        <f>(13.09+13.17+13.39+13.41+13.01+13.4)/6</f>
        <v>13.25</v>
      </c>
      <c r="E11" s="7">
        <f>(14.32+14.29)/2</f>
        <v>14.31</v>
      </c>
      <c r="F11" s="1">
        <f t="shared" si="11"/>
        <v>1.5</v>
      </c>
      <c r="G11" s="7">
        <f t="shared" si="8"/>
        <v>12.81</v>
      </c>
      <c r="H11" s="7">
        <f t="shared" si="9"/>
        <v>0.44</v>
      </c>
      <c r="I11" s="83">
        <f t="shared" si="10"/>
        <v>160.91</v>
      </c>
      <c r="J11" s="80"/>
      <c r="K11" s="80"/>
      <c r="L11" s="103"/>
      <c r="T11" s="102"/>
      <c r="U11" s="1" t="s">
        <v>86</v>
      </c>
      <c r="V11" s="7">
        <v>454.45</v>
      </c>
      <c r="W11" s="77">
        <f>(12.97+12.77+12.96+12.88+12.7+12.66+12.55)/7</f>
        <v>12.78</v>
      </c>
      <c r="X11" s="7">
        <f>(13.87+13.7+13.87+13.87+13.8)/5</f>
        <v>13.82</v>
      </c>
      <c r="Y11" s="1">
        <f t="shared" si="0"/>
        <v>1.51</v>
      </c>
      <c r="Z11" s="7">
        <f t="shared" si="1"/>
        <v>12.31</v>
      </c>
      <c r="AA11" s="7">
        <f t="shared" si="2"/>
        <v>0.47</v>
      </c>
      <c r="AB11" s="83">
        <f t="shared" si="3"/>
        <v>213.59</v>
      </c>
      <c r="AC11" s="80"/>
      <c r="AD11" s="80"/>
      <c r="AE11" s="103"/>
      <c r="AP11" s="102"/>
      <c r="AQ11" s="1"/>
      <c r="AR11" s="7"/>
      <c r="AS11" s="77"/>
      <c r="AT11" s="7"/>
      <c r="AU11" s="1"/>
      <c r="AV11" s="7"/>
      <c r="AW11" s="7"/>
      <c r="AX11" s="83"/>
      <c r="AY11" s="80"/>
      <c r="AZ11" s="80"/>
      <c r="BA11" s="103"/>
      <c r="BK11" s="102"/>
      <c r="BL11" s="1"/>
      <c r="BM11" s="7">
        <v>1835.06</v>
      </c>
      <c r="BN11" s="77">
        <f>BN10</f>
        <v>14.61</v>
      </c>
      <c r="BO11" s="7">
        <f>(14.84+14.79+14.9+14.85+15.02+15.04+15.34+15.31+15.85+15.85)/10</f>
        <v>15.18</v>
      </c>
      <c r="BP11" s="1">
        <f t="shared" si="4"/>
        <v>1.5</v>
      </c>
      <c r="BQ11" s="7">
        <f t="shared" si="5"/>
        <v>13.68</v>
      </c>
      <c r="BR11" s="7">
        <f t="shared" si="6"/>
        <v>0.93</v>
      </c>
      <c r="BS11" s="83">
        <f t="shared" si="7"/>
        <v>1706.61</v>
      </c>
      <c r="BT11" s="80"/>
      <c r="BU11" s="80"/>
      <c r="BV11" s="103"/>
    </row>
    <row r="12" spans="1:76" ht="15.75" thickBot="1" x14ac:dyDescent="0.3">
      <c r="A12" s="102"/>
      <c r="B12" s="1" t="s">
        <v>1</v>
      </c>
      <c r="C12" s="7">
        <v>590.26</v>
      </c>
      <c r="D12" s="77">
        <f>(12.97+13.15+13.16+13.6+12.98)/5</f>
        <v>13.17</v>
      </c>
      <c r="E12" s="7">
        <f>(14.06+14.27+14.22+14.13+13.94+14.15)/6</f>
        <v>14.13</v>
      </c>
      <c r="F12" s="1">
        <f t="shared" si="11"/>
        <v>1.5</v>
      </c>
      <c r="G12" s="7">
        <f t="shared" si="8"/>
        <v>12.63</v>
      </c>
      <c r="H12" s="7">
        <f t="shared" si="9"/>
        <v>0.54</v>
      </c>
      <c r="I12" s="83">
        <f t="shared" si="10"/>
        <v>318.74</v>
      </c>
      <c r="J12" s="80"/>
      <c r="K12" s="80"/>
      <c r="L12" s="103"/>
      <c r="T12" s="107"/>
      <c r="U12" s="108"/>
      <c r="V12" s="109"/>
      <c r="W12" s="110"/>
      <c r="X12" s="109"/>
      <c r="Y12" s="108"/>
      <c r="Z12" s="109">
        <f t="shared" si="1"/>
        <v>0</v>
      </c>
      <c r="AA12" s="109">
        <f t="shared" si="2"/>
        <v>0</v>
      </c>
      <c r="AB12" s="111"/>
      <c r="AC12" s="112"/>
      <c r="AD12" s="112"/>
      <c r="AE12" s="113"/>
      <c r="AF12" s="116">
        <f>SUM(AB6:AB12)</f>
        <v>2840.74</v>
      </c>
      <c r="AG12" s="116">
        <f>SUM(AC6:AC12)</f>
        <v>0</v>
      </c>
      <c r="AP12" s="107"/>
      <c r="AQ12" s="108"/>
      <c r="AR12" s="109"/>
      <c r="AS12" s="110"/>
      <c r="AT12" s="109"/>
      <c r="AU12" s="108"/>
      <c r="AV12" s="109"/>
      <c r="AW12" s="109"/>
      <c r="AX12" s="111"/>
      <c r="AY12" s="112"/>
      <c r="AZ12" s="112"/>
      <c r="BA12" s="113"/>
      <c r="BB12" s="116">
        <f>SUM(AX6:AX12)</f>
        <v>3381.99</v>
      </c>
      <c r="BC12" s="116">
        <f>SUM(AY6:AY12)</f>
        <v>0</v>
      </c>
      <c r="BK12" s="107"/>
      <c r="BL12" s="108"/>
      <c r="BM12" s="109"/>
      <c r="BN12" s="110"/>
      <c r="BO12" s="109"/>
      <c r="BP12" s="108"/>
      <c r="BQ12" s="109"/>
      <c r="BR12" s="109"/>
      <c r="BS12" s="111"/>
      <c r="BT12" s="112"/>
      <c r="BU12" s="112"/>
      <c r="BV12" s="113"/>
      <c r="BW12" s="116">
        <f>SUM(BS6:BS12)</f>
        <v>5973.34</v>
      </c>
      <c r="BX12" s="116">
        <f>SUM(BT6:BT12)</f>
        <v>0</v>
      </c>
    </row>
    <row r="13" spans="1:76" ht="45.75" thickTop="1" x14ac:dyDescent="0.25">
      <c r="A13" s="102"/>
      <c r="B13" s="1" t="s">
        <v>1</v>
      </c>
      <c r="C13" s="7">
        <v>599.45000000000005</v>
      </c>
      <c r="D13" s="77">
        <f>(13.28+13.06+13.06)/3</f>
        <v>13.13</v>
      </c>
      <c r="E13" s="7">
        <f>(14.29+14.25+14.15+14.09+14.14+13.96)/6</f>
        <v>14.15</v>
      </c>
      <c r="F13" s="1">
        <f t="shared" si="11"/>
        <v>1.5</v>
      </c>
      <c r="G13" s="7">
        <f t="shared" si="8"/>
        <v>12.65</v>
      </c>
      <c r="H13" s="7">
        <f t="shared" si="9"/>
        <v>0.48</v>
      </c>
      <c r="I13" s="83">
        <f>H13*C13</f>
        <v>287.74</v>
      </c>
      <c r="J13" s="80"/>
      <c r="K13" s="80"/>
      <c r="L13" s="103"/>
      <c r="T13" s="105" t="s">
        <v>2</v>
      </c>
      <c r="U13" s="89" t="s">
        <v>3</v>
      </c>
      <c r="V13" s="91">
        <v>182.16</v>
      </c>
      <c r="W13" s="91">
        <f>(13.29+12.96+13.12)/3</f>
        <v>13.12</v>
      </c>
      <c r="X13" s="90">
        <f>(14.33+14.27+14.21+14.27)/4</f>
        <v>14.27</v>
      </c>
      <c r="Y13" s="89">
        <f>(0.04+0.04+0.34+0.5)</f>
        <v>0.92</v>
      </c>
      <c r="Z13" s="90">
        <f t="shared" si="1"/>
        <v>13.35</v>
      </c>
      <c r="AA13" s="90">
        <f t="shared" si="2"/>
        <v>-0.23</v>
      </c>
      <c r="AB13" s="99"/>
      <c r="AC13" s="93">
        <f>AA13*V13</f>
        <v>-41.896799999999999</v>
      </c>
      <c r="AD13" s="93"/>
      <c r="AE13" s="106"/>
      <c r="AF13" s="104"/>
      <c r="AG13" s="73"/>
      <c r="AP13" s="105" t="s">
        <v>2</v>
      </c>
      <c r="AQ13" s="89" t="s">
        <v>3</v>
      </c>
      <c r="AR13" s="91">
        <v>60.61</v>
      </c>
      <c r="AS13" s="91">
        <f>(13.21+13.06+13.22)/3</f>
        <v>13.16</v>
      </c>
      <c r="AT13" s="90">
        <f>(13.81+13.75)/2</f>
        <v>13.78</v>
      </c>
      <c r="AU13" s="89">
        <f t="shared" ref="AU13:AU18" si="12">(0.04+0.04+0.34+0.5)</f>
        <v>0.92</v>
      </c>
      <c r="AV13" s="90">
        <f t="shared" ref="AV13:AV18" si="13">AT13-AU13</f>
        <v>12.86</v>
      </c>
      <c r="AW13" s="90">
        <f t="shared" ref="AW13:AW18" si="14">AS13-AV13</f>
        <v>0.3</v>
      </c>
      <c r="AX13" s="99">
        <f t="shared" ref="AX13:AX18" si="15">AW13*AR13</f>
        <v>18.18</v>
      </c>
      <c r="AY13" s="93"/>
      <c r="AZ13" s="93"/>
      <c r="BA13" s="106"/>
      <c r="BB13" s="104"/>
      <c r="BC13" s="73"/>
      <c r="BK13" s="105" t="s">
        <v>0</v>
      </c>
      <c r="BL13" s="89" t="s">
        <v>105</v>
      </c>
      <c r="BM13" s="91">
        <v>600.42999999999995</v>
      </c>
      <c r="BN13" s="91">
        <f>(13.53+13.67+13.24+13.31+13.01+13.68+13.65+13.39)/8</f>
        <v>13.44</v>
      </c>
      <c r="BO13" s="90">
        <f>(13.78+13.9+14.14+14.08+14.17+13.4)/6</f>
        <v>13.91</v>
      </c>
      <c r="BP13" s="89">
        <f>0.05+0.11+0.4+0.45+0.5</f>
        <v>1.51</v>
      </c>
      <c r="BQ13" s="90">
        <f>BO13-BP13</f>
        <v>12.4</v>
      </c>
      <c r="BR13" s="90">
        <f>BN13-BQ13</f>
        <v>1.04</v>
      </c>
      <c r="BS13" s="99">
        <f>BR13*BM13</f>
        <v>624.45000000000005</v>
      </c>
      <c r="BT13" s="93"/>
      <c r="BU13" s="93"/>
      <c r="BV13" s="106"/>
      <c r="BW13" s="104"/>
      <c r="BX13" s="73"/>
    </row>
    <row r="14" spans="1:76" x14ac:dyDescent="0.25">
      <c r="A14" s="102"/>
      <c r="B14" s="1" t="s">
        <v>1</v>
      </c>
      <c r="C14" s="7">
        <v>479.06</v>
      </c>
      <c r="D14" s="77">
        <f>(13+13.26+12.91+13.1)/4</f>
        <v>13.07</v>
      </c>
      <c r="E14" s="7">
        <f>(14.03+13.93+14.01+14.11+14.12+14.13)/6</f>
        <v>14.06</v>
      </c>
      <c r="F14" s="1">
        <f t="shared" si="11"/>
        <v>1.5</v>
      </c>
      <c r="G14" s="7">
        <f>E14-F14</f>
        <v>12.56</v>
      </c>
      <c r="H14" s="7">
        <f t="shared" si="9"/>
        <v>0.51</v>
      </c>
      <c r="I14" s="83">
        <f t="shared" ref="I14:I25" si="16">H14*C14</f>
        <v>244.32</v>
      </c>
      <c r="J14" s="80"/>
      <c r="K14" s="80"/>
      <c r="L14" s="103"/>
      <c r="T14" s="102">
        <v>3012.8723</v>
      </c>
      <c r="U14" s="89" t="s">
        <v>3</v>
      </c>
      <c r="V14" s="77">
        <v>172.54</v>
      </c>
      <c r="W14" s="77">
        <f>(13.23+13.01+12.96+13.08)/4</f>
        <v>13.07</v>
      </c>
      <c r="X14" s="7">
        <f>(14.25+14.14+14.25+14.19+14.25+14.19)/6</f>
        <v>14.21</v>
      </c>
      <c r="Y14" s="89">
        <f t="shared" ref="Y14:Y29" si="17">(0.04+0.04+0.34+0.5)</f>
        <v>0.92</v>
      </c>
      <c r="Z14" s="1">
        <f t="shared" ref="Z14:Z30" si="18">X14-Y14</f>
        <v>13.29</v>
      </c>
      <c r="AA14" s="7">
        <f t="shared" ref="AA14:AA30" si="19">W14-Z14</f>
        <v>-0.22</v>
      </c>
      <c r="AB14" s="83"/>
      <c r="AC14" s="93">
        <f>AA14*V14</f>
        <v>-37.958799999999997</v>
      </c>
      <c r="AD14" s="80"/>
      <c r="AE14" s="103"/>
      <c r="AP14" s="102"/>
      <c r="AQ14" s="89" t="s">
        <v>3</v>
      </c>
      <c r="AR14" s="77">
        <v>125.16</v>
      </c>
      <c r="AS14" s="77">
        <f>(13.07+12.97+13.03+12.89)/4</f>
        <v>12.99</v>
      </c>
      <c r="AT14" s="7">
        <f>(13.71+13.77+13.7+13.76)/4</f>
        <v>13.74</v>
      </c>
      <c r="AU14" s="89">
        <f t="shared" si="12"/>
        <v>0.92</v>
      </c>
      <c r="AV14" s="1">
        <f t="shared" si="13"/>
        <v>12.82</v>
      </c>
      <c r="AW14" s="7">
        <f t="shared" si="14"/>
        <v>0.17</v>
      </c>
      <c r="AX14" s="83">
        <f t="shared" si="15"/>
        <v>21.28</v>
      </c>
      <c r="AY14" s="93"/>
      <c r="AZ14" s="80"/>
      <c r="BA14" s="103"/>
      <c r="BK14" s="102">
        <v>803.43989999999997</v>
      </c>
      <c r="BL14" s="89"/>
      <c r="BM14" s="77">
        <v>150.66</v>
      </c>
      <c r="BN14" s="77">
        <f>BN13</f>
        <v>13.44</v>
      </c>
      <c r="BO14" s="7">
        <f>(13.29+13.43)/2</f>
        <v>13.36</v>
      </c>
      <c r="BP14" s="89">
        <f>0.05+0.11+0.4+0.45+0.5</f>
        <v>1.51</v>
      </c>
      <c r="BQ14" s="1">
        <f>BO14-BP14</f>
        <v>11.85</v>
      </c>
      <c r="BR14" s="7">
        <f>BN14-BQ14</f>
        <v>1.59</v>
      </c>
      <c r="BS14" s="83">
        <f>BR14*BM14</f>
        <v>239.55</v>
      </c>
      <c r="BT14" s="93"/>
      <c r="BU14" s="80"/>
      <c r="BV14" s="103"/>
    </row>
    <row r="15" spans="1:76" x14ac:dyDescent="0.25">
      <c r="A15" s="102"/>
      <c r="B15" s="1" t="s">
        <v>1</v>
      </c>
      <c r="C15" s="7">
        <v>479.7</v>
      </c>
      <c r="D15" s="77">
        <f>(12.95+13.25+13.14+13.03)/4</f>
        <v>13.09</v>
      </c>
      <c r="E15" s="7">
        <f>(14.04+13.92+14.14+14.13+14.12+14.12)/6</f>
        <v>14.08</v>
      </c>
      <c r="F15" s="1">
        <f t="shared" si="11"/>
        <v>1.5</v>
      </c>
      <c r="G15" s="7">
        <f t="shared" si="8"/>
        <v>12.58</v>
      </c>
      <c r="H15" s="7">
        <f t="shared" si="9"/>
        <v>0.51</v>
      </c>
      <c r="I15" s="83">
        <f t="shared" si="16"/>
        <v>244.65</v>
      </c>
      <c r="J15" s="80"/>
      <c r="K15" s="80"/>
      <c r="L15" s="103"/>
      <c r="T15" s="102"/>
      <c r="U15" s="89" t="s">
        <v>3</v>
      </c>
      <c r="V15" s="77">
        <v>174.8</v>
      </c>
      <c r="W15" s="77">
        <f>(13.18+13.3+13+13.19+13.09)/5</f>
        <v>13.15</v>
      </c>
      <c r="X15" s="7">
        <f>(14.25+14.19+14.25+14.19+14.25+14.19)/6</f>
        <v>14.22</v>
      </c>
      <c r="Y15" s="89">
        <f t="shared" si="17"/>
        <v>0.92</v>
      </c>
      <c r="Z15" s="1">
        <f t="shared" si="18"/>
        <v>13.3</v>
      </c>
      <c r="AA15" s="7">
        <f t="shared" si="19"/>
        <v>-0.15</v>
      </c>
      <c r="AB15" s="83"/>
      <c r="AC15" s="93">
        <f>AA15*V15</f>
        <v>-26.22</v>
      </c>
      <c r="AD15" s="80"/>
      <c r="AE15" s="103"/>
      <c r="AP15" s="102">
        <v>881.5145</v>
      </c>
      <c r="AQ15" s="89" t="s">
        <v>3</v>
      </c>
      <c r="AR15" s="77">
        <v>212.02</v>
      </c>
      <c r="AS15" s="77">
        <f>(13.1+13.31+13.27+13.18+13.14+12.9+12.83)/7</f>
        <v>13.1</v>
      </c>
      <c r="AT15" s="7">
        <f>(13.7+13.76+13.7+13.76+13.69+13.75)/6</f>
        <v>13.73</v>
      </c>
      <c r="AU15" s="89">
        <f t="shared" si="12"/>
        <v>0.92</v>
      </c>
      <c r="AV15" s="1">
        <f t="shared" si="13"/>
        <v>12.81</v>
      </c>
      <c r="AW15" s="7">
        <f t="shared" si="14"/>
        <v>0.28999999999999998</v>
      </c>
      <c r="AX15" s="83">
        <f t="shared" si="15"/>
        <v>61.49</v>
      </c>
      <c r="AY15" s="93"/>
      <c r="AZ15" s="80"/>
      <c r="BA15" s="103"/>
      <c r="BK15" s="102"/>
      <c r="BL15" s="89"/>
      <c r="BM15" s="77">
        <v>52.35</v>
      </c>
      <c r="BN15" s="77">
        <f>(13.88+13.91)/2</f>
        <v>13.9</v>
      </c>
      <c r="BO15" s="7">
        <v>14.82</v>
      </c>
      <c r="BP15" s="89">
        <f>0.05+0.11+0.4+0.45+0.5</f>
        <v>1.51</v>
      </c>
      <c r="BQ15" s="1">
        <f>BO15-BP15</f>
        <v>13.31</v>
      </c>
      <c r="BR15" s="7">
        <f>BN15-BQ15</f>
        <v>0.59</v>
      </c>
      <c r="BS15" s="83">
        <f>BR15*BM15</f>
        <v>30.89</v>
      </c>
      <c r="BT15" s="93"/>
      <c r="BU15" s="80"/>
      <c r="BV15" s="103"/>
    </row>
    <row r="16" spans="1:76" x14ac:dyDescent="0.25">
      <c r="A16" s="102"/>
      <c r="B16" s="1" t="s">
        <v>1</v>
      </c>
      <c r="C16" s="7">
        <v>407.75</v>
      </c>
      <c r="D16" s="77">
        <f>(12.87+13.29+12.91)/3</f>
        <v>13.02</v>
      </c>
      <c r="E16" s="7">
        <f>(13.91+14.1+14+14.1)/4</f>
        <v>14.03</v>
      </c>
      <c r="F16" s="1">
        <f t="shared" si="11"/>
        <v>1.5</v>
      </c>
      <c r="G16" s="7">
        <f t="shared" si="8"/>
        <v>12.53</v>
      </c>
      <c r="H16" s="7">
        <f t="shared" si="9"/>
        <v>0.49</v>
      </c>
      <c r="I16" s="83">
        <f t="shared" si="16"/>
        <v>199.8</v>
      </c>
      <c r="J16" s="80"/>
      <c r="K16" s="80"/>
      <c r="L16" s="103"/>
      <c r="T16" s="102"/>
      <c r="U16" s="89" t="s">
        <v>3</v>
      </c>
      <c r="V16" s="121">
        <v>183.26</v>
      </c>
      <c r="W16" s="77">
        <f>(13.42+13.29+13.16+13.12)/4</f>
        <v>13.25</v>
      </c>
      <c r="X16" s="7">
        <f>(14.22+14.06+14.16+14.1+14.17)/5</f>
        <v>14.14</v>
      </c>
      <c r="Y16" s="89">
        <f t="shared" si="17"/>
        <v>0.92</v>
      </c>
      <c r="Z16" s="7">
        <f t="shared" si="18"/>
        <v>13.22</v>
      </c>
      <c r="AA16" s="7">
        <f t="shared" si="19"/>
        <v>0.03</v>
      </c>
      <c r="AB16" s="92">
        <f>AA16*V16</f>
        <v>5.5</v>
      </c>
      <c r="AC16" s="93"/>
      <c r="AD16" s="80"/>
      <c r="AE16" s="103"/>
      <c r="AP16" s="102" t="s">
        <v>88</v>
      </c>
      <c r="AQ16" s="89" t="s">
        <v>3</v>
      </c>
      <c r="AR16" s="121">
        <v>234.45</v>
      </c>
      <c r="AS16" s="77">
        <f>(13.22+13.11+12.91+12.66+12.85+12.98)/6</f>
        <v>12.96</v>
      </c>
      <c r="AT16" s="7">
        <f>(13.69+13.75+13.69+13.75+13.69+13.75+13.69+13.75)/8</f>
        <v>13.72</v>
      </c>
      <c r="AU16" s="89">
        <f t="shared" si="12"/>
        <v>0.92</v>
      </c>
      <c r="AV16" s="7">
        <f t="shared" si="13"/>
        <v>12.8</v>
      </c>
      <c r="AW16" s="7">
        <f t="shared" si="14"/>
        <v>0.16</v>
      </c>
      <c r="AX16" s="92">
        <f t="shared" si="15"/>
        <v>37.51</v>
      </c>
      <c r="AY16" s="80"/>
      <c r="AZ16" s="80"/>
      <c r="BA16" s="103"/>
      <c r="BK16" s="102" t="s">
        <v>88</v>
      </c>
      <c r="BL16" s="89"/>
      <c r="BM16" s="121"/>
      <c r="BN16" s="77"/>
      <c r="BO16" s="7"/>
      <c r="BP16" s="89"/>
      <c r="BQ16" s="7"/>
      <c r="BR16" s="7"/>
      <c r="BS16" s="92"/>
      <c r="BT16" s="80"/>
      <c r="BU16" s="80"/>
      <c r="BV16" s="103"/>
    </row>
    <row r="17" spans="1:84" x14ac:dyDescent="0.25">
      <c r="A17" s="102"/>
      <c r="B17" s="1" t="s">
        <v>1</v>
      </c>
      <c r="C17" s="7">
        <v>404.33</v>
      </c>
      <c r="D17" s="77">
        <f>(13.17+13.3+12.86)/3</f>
        <v>13.11</v>
      </c>
      <c r="E17" s="7">
        <f>(14.1+13.9+14.1+13.99)/4</f>
        <v>14.02</v>
      </c>
      <c r="F17" s="1">
        <f t="shared" si="11"/>
        <v>1.5</v>
      </c>
      <c r="G17" s="7">
        <f t="shared" si="8"/>
        <v>12.52</v>
      </c>
      <c r="H17" s="7">
        <f t="shared" si="9"/>
        <v>0.59</v>
      </c>
      <c r="I17" s="83">
        <f t="shared" si="16"/>
        <v>238.55</v>
      </c>
      <c r="J17" s="80"/>
      <c r="K17" s="80"/>
      <c r="L17" s="103"/>
      <c r="T17" s="102"/>
      <c r="U17" s="89" t="s">
        <v>3</v>
      </c>
      <c r="V17" s="77">
        <v>173.54</v>
      </c>
      <c r="W17" s="77">
        <f>(13.29+13.25+13.01+12.96+13.08+13.2+13.08)/7</f>
        <v>13.12</v>
      </c>
      <c r="X17" s="7">
        <f>(14.14+14.08+14.14+14.08+14.08+14.14)/6</f>
        <v>14.11</v>
      </c>
      <c r="Y17" s="89">
        <f t="shared" si="17"/>
        <v>0.92</v>
      </c>
      <c r="Z17" s="1">
        <f t="shared" si="18"/>
        <v>13.19</v>
      </c>
      <c r="AA17" s="7">
        <f t="shared" si="19"/>
        <v>-7.0000000000000007E-2</v>
      </c>
      <c r="AB17" s="92"/>
      <c r="AC17" s="80">
        <f>AA17*V17</f>
        <v>-12.1478</v>
      </c>
      <c r="AD17" s="80"/>
      <c r="AE17" s="103"/>
      <c r="AP17" s="102"/>
      <c r="AQ17" s="89" t="s">
        <v>3</v>
      </c>
      <c r="AR17" s="77">
        <v>218.87</v>
      </c>
      <c r="AS17" s="77">
        <f>(12.88+12.9+12.97+12.92+12.75+12.68)/6</f>
        <v>12.85</v>
      </c>
      <c r="AT17" s="7">
        <f>(13.69+13.75+13.75+13.69+13.75+13.74)/6</f>
        <v>13.73</v>
      </c>
      <c r="AU17" s="89">
        <f t="shared" si="12"/>
        <v>0.92</v>
      </c>
      <c r="AV17" s="1">
        <f t="shared" si="13"/>
        <v>12.81</v>
      </c>
      <c r="AW17" s="7">
        <f t="shared" si="14"/>
        <v>0.04</v>
      </c>
      <c r="AX17" s="92">
        <f t="shared" si="15"/>
        <v>8.75</v>
      </c>
      <c r="AY17" s="80"/>
      <c r="AZ17" s="80"/>
      <c r="BA17" s="103"/>
      <c r="BK17" s="102"/>
      <c r="BL17" s="89"/>
      <c r="BM17" s="77"/>
      <c r="BN17" s="77"/>
      <c r="BO17" s="7"/>
      <c r="BP17" s="89"/>
      <c r="BQ17" s="1"/>
      <c r="BR17" s="7"/>
      <c r="BS17" s="92"/>
      <c r="BT17" s="80"/>
      <c r="BU17" s="80"/>
      <c r="BV17" s="103"/>
    </row>
    <row r="18" spans="1:84" x14ac:dyDescent="0.25">
      <c r="A18" s="102"/>
      <c r="B18" s="1" t="s">
        <v>1</v>
      </c>
      <c r="C18" s="7">
        <v>491.7</v>
      </c>
      <c r="D18" s="77">
        <f>(12.7+12.95+12.98)/3</f>
        <v>12.88</v>
      </c>
      <c r="E18" s="7">
        <f>(13.89+14.09+14.08+13.98+13.88+13.97+14.06+14.07)/8</f>
        <v>14</v>
      </c>
      <c r="F18" s="1">
        <f t="shared" si="11"/>
        <v>1.5</v>
      </c>
      <c r="G18" s="7">
        <f t="shared" si="8"/>
        <v>12.5</v>
      </c>
      <c r="H18" s="7">
        <f t="shared" si="9"/>
        <v>0.38</v>
      </c>
      <c r="I18" s="83">
        <f t="shared" si="16"/>
        <v>186.85</v>
      </c>
      <c r="J18" s="80"/>
      <c r="K18" s="80"/>
      <c r="L18" s="103"/>
      <c r="T18" s="102"/>
      <c r="U18" s="89" t="s">
        <v>3</v>
      </c>
      <c r="V18" s="77">
        <v>174.97</v>
      </c>
      <c r="W18" s="77">
        <f>(13.18+13.3+13.31+13.25+13.09+13.17)/6</f>
        <v>13.22</v>
      </c>
      <c r="X18" s="7">
        <f>(14.08+14.14+14.8+14.14+14.08+14.14)/6</f>
        <v>14.23</v>
      </c>
      <c r="Y18" s="89">
        <f t="shared" si="17"/>
        <v>0.92</v>
      </c>
      <c r="Z18" s="1">
        <f t="shared" si="18"/>
        <v>13.31</v>
      </c>
      <c r="AA18" s="7">
        <f t="shared" si="19"/>
        <v>-0.09</v>
      </c>
      <c r="AB18" s="83"/>
      <c r="AC18" s="80">
        <f>AA18*V18</f>
        <v>-15.747299999999999</v>
      </c>
      <c r="AD18" s="80"/>
      <c r="AE18" s="103"/>
      <c r="AP18" s="102"/>
      <c r="AQ18" s="89" t="s">
        <v>3</v>
      </c>
      <c r="AR18" s="77">
        <v>30.4</v>
      </c>
      <c r="AS18" s="77">
        <f>(12.84+12.87+12.98)/3</f>
        <v>12.9</v>
      </c>
      <c r="AT18" s="7">
        <f>(13.48+13.55+13.53)/3</f>
        <v>13.52</v>
      </c>
      <c r="AU18" s="89">
        <f t="shared" si="12"/>
        <v>0.92</v>
      </c>
      <c r="AV18" s="1">
        <f t="shared" si="13"/>
        <v>12.6</v>
      </c>
      <c r="AW18" s="7">
        <f t="shared" si="14"/>
        <v>0.3</v>
      </c>
      <c r="AX18" s="83">
        <f t="shared" si="15"/>
        <v>9.1199999999999992</v>
      </c>
      <c r="AY18" s="93"/>
      <c r="AZ18" s="80"/>
      <c r="BA18" s="103"/>
      <c r="BK18" s="102"/>
      <c r="BL18" s="89"/>
      <c r="BM18" s="77"/>
      <c r="BN18" s="77"/>
      <c r="BO18" s="7"/>
      <c r="BP18" s="89"/>
      <c r="BQ18" s="1"/>
      <c r="BR18" s="7"/>
      <c r="BS18" s="83"/>
      <c r="BT18" s="93"/>
      <c r="BU18" s="80"/>
      <c r="BV18" s="103"/>
    </row>
    <row r="19" spans="1:84" x14ac:dyDescent="0.25">
      <c r="A19" s="102"/>
      <c r="B19" s="1" t="s">
        <v>1</v>
      </c>
      <c r="C19" s="7">
        <v>489.23</v>
      </c>
      <c r="D19" s="77">
        <f>(12.72+12.94+13.03)/3</f>
        <v>12.9</v>
      </c>
      <c r="E19" s="7">
        <f>(14.09+13.88+14.08+13.97+13.87+14.07)/6</f>
        <v>13.99</v>
      </c>
      <c r="F19" s="1">
        <f t="shared" si="11"/>
        <v>1.5</v>
      </c>
      <c r="G19" s="7">
        <f t="shared" si="8"/>
        <v>12.49</v>
      </c>
      <c r="H19" s="7">
        <f t="shared" si="9"/>
        <v>0.41</v>
      </c>
      <c r="I19" s="83">
        <f t="shared" si="16"/>
        <v>200.58</v>
      </c>
      <c r="J19" s="80"/>
      <c r="K19" s="80"/>
      <c r="L19" s="103"/>
      <c r="T19" s="102"/>
      <c r="U19" s="89" t="s">
        <v>3</v>
      </c>
      <c r="V19" s="77">
        <v>172.66</v>
      </c>
      <c r="W19" s="77">
        <f>(13.16+13.15+13.31)/3</f>
        <v>13.21</v>
      </c>
      <c r="X19" s="7">
        <f>(14.16+14.11+14.1+14.05+14.08+14.03+14.08+14.03)/8</f>
        <v>14.08</v>
      </c>
      <c r="Y19" s="89">
        <f t="shared" si="17"/>
        <v>0.92</v>
      </c>
      <c r="Z19" s="1">
        <f t="shared" si="18"/>
        <v>13.16</v>
      </c>
      <c r="AA19" s="7">
        <f t="shared" si="19"/>
        <v>0.05</v>
      </c>
      <c r="AB19" s="83">
        <f>AA19*V19</f>
        <v>8.6300000000000008</v>
      </c>
      <c r="AC19" s="93"/>
      <c r="AD19" s="80"/>
      <c r="AE19" s="103"/>
      <c r="AP19" s="102"/>
      <c r="AQ19" s="89"/>
      <c r="AR19" s="77"/>
      <c r="AS19" s="77"/>
      <c r="AT19" s="7"/>
      <c r="AU19" s="89"/>
      <c r="AV19" s="7"/>
      <c r="AW19" s="7"/>
      <c r="AX19" s="92"/>
      <c r="AY19" s="93"/>
      <c r="AZ19" s="80"/>
      <c r="BA19" s="103"/>
      <c r="BB19" s="116">
        <f>SUM(AX13:AX20)</f>
        <v>156.33000000000001</v>
      </c>
      <c r="BC19" s="116">
        <f>SUM(AY13:AY20)</f>
        <v>0</v>
      </c>
      <c r="BK19" s="102"/>
      <c r="BL19" s="89"/>
      <c r="BM19" s="77"/>
      <c r="BN19" s="77"/>
      <c r="BO19" s="7"/>
      <c r="BP19" s="89"/>
      <c r="BQ19" s="7"/>
      <c r="BR19" s="7"/>
      <c r="BS19" s="92"/>
      <c r="BT19" s="93"/>
      <c r="BU19" s="80"/>
      <c r="BV19" s="103"/>
      <c r="BW19" s="116">
        <f>SUM(BS13:BS20)</f>
        <v>894.89</v>
      </c>
      <c r="BX19" s="116">
        <f>SUM(BT13:BT20)</f>
        <v>0</v>
      </c>
    </row>
    <row r="20" spans="1:84" ht="15.75" thickBot="1" x14ac:dyDescent="0.3">
      <c r="A20" s="102"/>
      <c r="B20" s="1" t="s">
        <v>1</v>
      </c>
      <c r="C20" s="7">
        <v>324.74</v>
      </c>
      <c r="D20" s="77">
        <f>(12.95+12.14+12.66)/3</f>
        <v>12.58</v>
      </c>
      <c r="E20" s="7">
        <f>(14.06+13.97+13.87+14.05+13.95+14.05)/6</f>
        <v>13.99</v>
      </c>
      <c r="F20" s="1">
        <f t="shared" si="11"/>
        <v>1.5</v>
      </c>
      <c r="G20" s="7">
        <f t="shared" si="8"/>
        <v>12.49</v>
      </c>
      <c r="H20" s="7">
        <f t="shared" si="9"/>
        <v>0.09</v>
      </c>
      <c r="I20" s="83">
        <f t="shared" si="16"/>
        <v>29.23</v>
      </c>
      <c r="J20" s="80"/>
      <c r="K20" s="80"/>
      <c r="L20" s="103"/>
      <c r="T20" s="102"/>
      <c r="U20" s="89" t="s">
        <v>3</v>
      </c>
      <c r="V20" s="77">
        <v>197.99</v>
      </c>
      <c r="W20" s="77">
        <f>(13.25+12.94+13.21+13.27)/4</f>
        <v>13.17</v>
      </c>
      <c r="X20" s="7">
        <f>(14.08+14.03+14.08+14.03+14.08+14.03)/6</f>
        <v>14.06</v>
      </c>
      <c r="Y20" s="89">
        <f t="shared" si="17"/>
        <v>0.92</v>
      </c>
      <c r="Z20" s="1">
        <f t="shared" si="18"/>
        <v>13.14</v>
      </c>
      <c r="AA20" s="7">
        <f t="shared" si="19"/>
        <v>0.03</v>
      </c>
      <c r="AB20" s="83">
        <f>AA20*V20</f>
        <v>5.94</v>
      </c>
      <c r="AC20" s="93"/>
      <c r="AD20" s="80"/>
      <c r="AE20" s="103"/>
      <c r="AP20" s="107"/>
      <c r="AQ20" s="108"/>
      <c r="AR20" s="109"/>
      <c r="AS20" s="110"/>
      <c r="AT20" s="109"/>
      <c r="AU20" s="108"/>
      <c r="AV20" s="108"/>
      <c r="AW20" s="109"/>
      <c r="AX20" s="111"/>
      <c r="AY20" s="112"/>
      <c r="AZ20" s="112"/>
      <c r="BA20" s="113"/>
      <c r="BK20" s="107"/>
      <c r="BL20" s="108"/>
      <c r="BM20" s="109"/>
      <c r="BN20" s="110"/>
      <c r="BO20" s="109"/>
      <c r="BP20" s="108"/>
      <c r="BQ20" s="108"/>
      <c r="BR20" s="109"/>
      <c r="BS20" s="111"/>
      <c r="BT20" s="112"/>
      <c r="BU20" s="112"/>
      <c r="BV20" s="113"/>
    </row>
    <row r="21" spans="1:84" ht="60.75" thickTop="1" x14ac:dyDescent="0.25">
      <c r="A21" s="102"/>
      <c r="B21" s="1" t="s">
        <v>1</v>
      </c>
      <c r="C21" s="7">
        <v>327.83</v>
      </c>
      <c r="D21" s="77">
        <f>(12.74+12.72+12.71)/3</f>
        <v>12.72</v>
      </c>
      <c r="E21" s="7">
        <f>(14.06+13.96+14.05+13.86+14.05+13.96)/6</f>
        <v>13.99</v>
      </c>
      <c r="F21" s="1">
        <f t="shared" si="11"/>
        <v>1.5</v>
      </c>
      <c r="G21" s="7">
        <f t="shared" si="8"/>
        <v>12.49</v>
      </c>
      <c r="H21" s="7">
        <f t="shared" si="9"/>
        <v>0.23</v>
      </c>
      <c r="I21" s="83">
        <f t="shared" si="16"/>
        <v>75.400000000000006</v>
      </c>
      <c r="J21" s="80"/>
      <c r="K21" s="80"/>
      <c r="L21" s="103"/>
      <c r="T21" s="102"/>
      <c r="U21" s="89" t="s">
        <v>3</v>
      </c>
      <c r="V21" s="77">
        <v>239.93</v>
      </c>
      <c r="W21" s="77">
        <f>(13.23+13.26+12.86+12.7)/4</f>
        <v>13.01</v>
      </c>
      <c r="X21" s="7">
        <f>(14.25+14.09+14.25+14.19+14.25+14.19+14.24+14.18)/8</f>
        <v>14.21</v>
      </c>
      <c r="Y21" s="89">
        <f t="shared" si="17"/>
        <v>0.92</v>
      </c>
      <c r="Z21" s="1">
        <f t="shared" ref="Z21:Z29" si="20">X21-Y21</f>
        <v>13.29</v>
      </c>
      <c r="AA21" s="7">
        <f t="shared" ref="AA21:AA29" si="21">W21-Z21</f>
        <v>-0.28000000000000003</v>
      </c>
      <c r="AB21" s="83"/>
      <c r="AC21" s="93">
        <f>AA21*V21</f>
        <v>-67.180400000000006</v>
      </c>
      <c r="AD21" s="80"/>
      <c r="AE21" s="103"/>
      <c r="AP21" s="88" t="s">
        <v>5</v>
      </c>
      <c r="AQ21" s="89" t="s">
        <v>4</v>
      </c>
      <c r="AR21" s="90">
        <v>30.42</v>
      </c>
      <c r="AS21" s="91">
        <f>(13.07+12.97+13.07)/3</f>
        <v>13.04</v>
      </c>
      <c r="AT21" s="90">
        <f>(13.52+13.53+13.51+13.53)/4</f>
        <v>13.52</v>
      </c>
      <c r="AU21" s="89">
        <f t="shared" ref="AU21:AU26" si="22">0.15+0.05+0.08+(0.5+0.46+0.31+0.11)</f>
        <v>1.66</v>
      </c>
      <c r="AV21" s="7">
        <f t="shared" ref="AV21:AV26" si="23">AT21-AU21</f>
        <v>11.86</v>
      </c>
      <c r="AW21" s="90">
        <f t="shared" ref="AW21:AW26" si="24">AS21-AV21</f>
        <v>1.18</v>
      </c>
      <c r="AX21" s="99">
        <f t="shared" ref="AX21:AX26" si="25">AW21*AR21</f>
        <v>35.9</v>
      </c>
      <c r="AY21" s="93"/>
      <c r="AZ21" s="93"/>
      <c r="BA21" s="94"/>
      <c r="BK21" s="88" t="s">
        <v>106</v>
      </c>
      <c r="BL21" s="89" t="s">
        <v>107</v>
      </c>
      <c r="BM21" s="90">
        <v>145.43</v>
      </c>
      <c r="BN21" s="91">
        <f>BN22</f>
        <v>12.98</v>
      </c>
      <c r="BO21" s="90">
        <f>(13.4+13.35+13.49+13.45+13.69+13.69)/6</f>
        <v>13.51</v>
      </c>
      <c r="BP21" s="89">
        <v>0.92</v>
      </c>
      <c r="BQ21" s="7">
        <f t="shared" ref="BQ21:BQ26" si="26">BO21-BP21</f>
        <v>12.59</v>
      </c>
      <c r="BR21" s="90">
        <f t="shared" ref="BR21:BR26" si="27">BN21-BQ21</f>
        <v>0.39</v>
      </c>
      <c r="BS21" s="99">
        <f>BR21*BM21</f>
        <v>56.72</v>
      </c>
      <c r="BT21" s="93"/>
      <c r="BU21" s="93"/>
      <c r="BV21" s="94"/>
    </row>
    <row r="22" spans="1:84" x14ac:dyDescent="0.25">
      <c r="A22" s="102"/>
      <c r="B22" s="1" t="s">
        <v>1</v>
      </c>
      <c r="C22" s="7">
        <v>319.36</v>
      </c>
      <c r="D22" s="77">
        <f>(12.88+12.94+12.14+12.57)/4</f>
        <v>12.63</v>
      </c>
      <c r="E22" s="7">
        <f>(13.84+13.92+14.03+14.04)/4</f>
        <v>13.96</v>
      </c>
      <c r="F22" s="1">
        <f t="shared" si="11"/>
        <v>1.5</v>
      </c>
      <c r="G22" s="7">
        <f t="shared" si="8"/>
        <v>12.46</v>
      </c>
      <c r="H22" s="7">
        <f t="shared" si="9"/>
        <v>0.17</v>
      </c>
      <c r="I22" s="83">
        <f t="shared" si="16"/>
        <v>54.29</v>
      </c>
      <c r="J22" s="80"/>
      <c r="K22" s="80"/>
      <c r="L22" s="103"/>
      <c r="T22" s="102"/>
      <c r="U22" s="89" t="s">
        <v>3</v>
      </c>
      <c r="V22" s="77">
        <v>238.52</v>
      </c>
      <c r="W22" s="77">
        <f>(13.23+13.26+12.86+12.7)/4</f>
        <v>13.01</v>
      </c>
      <c r="X22" s="7">
        <f>(14.14+14.08+14.14+14.08+14.13+14.07)/6</f>
        <v>14.11</v>
      </c>
      <c r="Y22" s="89">
        <f t="shared" si="17"/>
        <v>0.92</v>
      </c>
      <c r="Z22" s="1">
        <f t="shared" si="20"/>
        <v>13.19</v>
      </c>
      <c r="AA22" s="7">
        <f t="shared" si="21"/>
        <v>-0.18</v>
      </c>
      <c r="AB22" s="83"/>
      <c r="AC22" s="93">
        <f>AA22*V22</f>
        <v>-42.933599999999998</v>
      </c>
      <c r="AD22" s="80"/>
      <c r="AE22" s="103"/>
      <c r="AP22" s="11">
        <v>264.51330000000002</v>
      </c>
      <c r="AQ22" s="89" t="s">
        <v>4</v>
      </c>
      <c r="AR22" s="7">
        <v>48.05</v>
      </c>
      <c r="AS22" s="77">
        <f>(13.07+13.18+12.83+12.9)/4</f>
        <v>13</v>
      </c>
      <c r="AT22" s="7">
        <f>(13.53+13.51+13.53+13.51+13.52+13.5)/6</f>
        <v>13.52</v>
      </c>
      <c r="AU22" s="89">
        <f t="shared" si="22"/>
        <v>1.66</v>
      </c>
      <c r="AV22" s="7">
        <f t="shared" si="23"/>
        <v>11.86</v>
      </c>
      <c r="AW22" s="7">
        <f t="shared" si="24"/>
        <v>1.1399999999999999</v>
      </c>
      <c r="AX22" s="83">
        <f t="shared" si="25"/>
        <v>54.78</v>
      </c>
      <c r="AY22" s="93"/>
      <c r="AZ22" s="80"/>
      <c r="BA22" s="4"/>
      <c r="BK22" s="11">
        <v>1225</v>
      </c>
      <c r="BL22" s="89"/>
      <c r="BM22" s="7">
        <v>77.89</v>
      </c>
      <c r="BN22" s="77">
        <f>(13.01+12.89+12.95+13.08)/4</f>
        <v>12.98</v>
      </c>
      <c r="BO22" s="7">
        <f>(13.92+13.86)/2</f>
        <v>13.89</v>
      </c>
      <c r="BP22" s="89">
        <v>0.92</v>
      </c>
      <c r="BQ22" s="7">
        <f t="shared" si="26"/>
        <v>12.97</v>
      </c>
      <c r="BR22" s="7">
        <f t="shared" si="27"/>
        <v>0.01</v>
      </c>
      <c r="BS22" s="83">
        <f>BR22*BM22</f>
        <v>0.78</v>
      </c>
      <c r="BT22" s="93"/>
      <c r="BU22" s="80"/>
      <c r="BV22" s="4"/>
    </row>
    <row r="23" spans="1:84" x14ac:dyDescent="0.25">
      <c r="A23" s="102"/>
      <c r="B23" s="1" t="s">
        <v>1</v>
      </c>
      <c r="C23" s="7">
        <v>299.3</v>
      </c>
      <c r="D23" s="77">
        <f>(12.69+12.87+12.89)/3</f>
        <v>12.82</v>
      </c>
      <c r="E23" s="7">
        <f>(13.96+13.85+13.91+14.03+14.04)/5</f>
        <v>13.96</v>
      </c>
      <c r="F23" s="1">
        <f t="shared" si="11"/>
        <v>1.5</v>
      </c>
      <c r="G23" s="7">
        <f t="shared" si="8"/>
        <v>12.46</v>
      </c>
      <c r="H23" s="7">
        <f t="shared" si="9"/>
        <v>0.36</v>
      </c>
      <c r="I23" s="83">
        <f t="shared" si="16"/>
        <v>107.75</v>
      </c>
      <c r="J23" s="80"/>
      <c r="K23" s="80"/>
      <c r="L23" s="103"/>
      <c r="T23" s="102"/>
      <c r="U23" s="89" t="s">
        <v>3</v>
      </c>
      <c r="V23" s="77">
        <f>193.4746+25.82</f>
        <v>219.29</v>
      </c>
      <c r="W23" s="77">
        <f>(13.23+13.26+12.86+12.7)/4</f>
        <v>13.01</v>
      </c>
      <c r="X23" s="7">
        <f>(14.08+14.03+14.08+14.03+14.03+14.03+14.07+14.02)/8</f>
        <v>14.05</v>
      </c>
      <c r="Y23" s="89">
        <f t="shared" si="17"/>
        <v>0.92</v>
      </c>
      <c r="Z23" s="1">
        <f t="shared" si="20"/>
        <v>13.13</v>
      </c>
      <c r="AA23" s="7">
        <f t="shared" si="21"/>
        <v>-0.12</v>
      </c>
      <c r="AB23" s="83"/>
      <c r="AC23" s="93">
        <f>AA23*V23</f>
        <v>-26.314800000000002</v>
      </c>
      <c r="AD23" s="80"/>
      <c r="AE23" s="103"/>
      <c r="AP23" s="11"/>
      <c r="AQ23" s="89" t="s">
        <v>4</v>
      </c>
      <c r="AR23" s="7">
        <v>27.64</v>
      </c>
      <c r="AS23" s="77">
        <f>(13.08+13.34+13.22)/3</f>
        <v>13.21</v>
      </c>
      <c r="AT23" s="7">
        <f>(13.5+13.52+13.5+13.49)/4</f>
        <v>13.5</v>
      </c>
      <c r="AU23" s="89">
        <f t="shared" si="22"/>
        <v>1.66</v>
      </c>
      <c r="AV23" s="7">
        <f t="shared" si="23"/>
        <v>11.84</v>
      </c>
      <c r="AW23" s="1">
        <f t="shared" si="24"/>
        <v>1.37</v>
      </c>
      <c r="AX23" s="83">
        <f t="shared" si="25"/>
        <v>37.869999999999997</v>
      </c>
      <c r="AY23" s="93"/>
      <c r="AZ23" s="80"/>
      <c r="BA23" s="4"/>
      <c r="BK23" s="11"/>
      <c r="BL23" s="89"/>
      <c r="BM23" s="7">
        <v>176.02</v>
      </c>
      <c r="BN23" s="77">
        <f>(13.3+13.1+12.4+13.01+13.84+12.97)/6</f>
        <v>13.1</v>
      </c>
      <c r="BO23" s="7">
        <f>(13.99+14.05+14.23+14.25+14.35)/5</f>
        <v>14.17</v>
      </c>
      <c r="BP23" s="89">
        <v>0.92</v>
      </c>
      <c r="BQ23" s="7">
        <f t="shared" si="26"/>
        <v>13.25</v>
      </c>
      <c r="BR23" s="1">
        <f t="shared" si="27"/>
        <v>-0.15</v>
      </c>
      <c r="BS23" s="83"/>
      <c r="BT23" s="93">
        <f>BR23*BM23</f>
        <v>-26.402999999999999</v>
      </c>
      <c r="BU23" s="80"/>
      <c r="BV23" s="4"/>
    </row>
    <row r="24" spans="1:84" x14ac:dyDescent="0.25">
      <c r="A24" s="102"/>
      <c r="B24" s="1" t="s">
        <v>1</v>
      </c>
      <c r="C24" s="7">
        <v>171.7</v>
      </c>
      <c r="D24" s="77">
        <v>12.6</v>
      </c>
      <c r="E24" s="7">
        <f>(13.87+13.87)/2</f>
        <v>13.87</v>
      </c>
      <c r="F24" s="1">
        <f t="shared" si="11"/>
        <v>1.5</v>
      </c>
      <c r="G24" s="7">
        <f t="shared" si="8"/>
        <v>12.37</v>
      </c>
      <c r="H24" s="7">
        <f t="shared" si="9"/>
        <v>0.23</v>
      </c>
      <c r="I24" s="83">
        <f t="shared" si="16"/>
        <v>39.49</v>
      </c>
      <c r="J24" s="80"/>
      <c r="K24" s="80"/>
      <c r="L24" s="103"/>
      <c r="T24" s="102"/>
      <c r="U24" s="89" t="s">
        <v>3</v>
      </c>
      <c r="V24" s="77">
        <v>161.25</v>
      </c>
      <c r="W24" s="77">
        <f>(12.88+12.97+12.99+12.77+13.23+13.27)/6</f>
        <v>13.02</v>
      </c>
      <c r="X24" s="7">
        <f>(14.24+14.24+14.18+14.18)/4</f>
        <v>14.21</v>
      </c>
      <c r="Y24" s="89">
        <f t="shared" si="17"/>
        <v>0.92</v>
      </c>
      <c r="Z24" s="7">
        <f>X24-Y24</f>
        <v>13.29</v>
      </c>
      <c r="AA24" s="7">
        <f>W24-Z24</f>
        <v>-0.27</v>
      </c>
      <c r="AB24" s="83"/>
      <c r="AC24" s="93">
        <f>AA24*V24</f>
        <v>-43.537500000000001</v>
      </c>
      <c r="AD24" s="80"/>
      <c r="AE24" s="103"/>
      <c r="AP24" s="11"/>
      <c r="AQ24" s="89" t="s">
        <v>4</v>
      </c>
      <c r="AR24" s="7">
        <v>68.63</v>
      </c>
      <c r="AS24" s="77">
        <f>(12.91+12.71+12.84+12.99)/4</f>
        <v>12.86</v>
      </c>
      <c r="AT24" s="7">
        <f>(13.53+13.48+13.5+13.53)/4</f>
        <v>13.51</v>
      </c>
      <c r="AU24" s="89">
        <f t="shared" si="22"/>
        <v>1.66</v>
      </c>
      <c r="AV24" s="7">
        <f t="shared" si="23"/>
        <v>11.85</v>
      </c>
      <c r="AW24" s="1">
        <f t="shared" si="24"/>
        <v>1.01</v>
      </c>
      <c r="AX24" s="83">
        <f t="shared" si="25"/>
        <v>69.319999999999993</v>
      </c>
      <c r="AY24" s="93"/>
      <c r="AZ24" s="80"/>
      <c r="BA24" s="4"/>
      <c r="BK24" s="11"/>
      <c r="BL24" s="89"/>
      <c r="BM24" s="7">
        <v>75.63</v>
      </c>
      <c r="BN24" s="77">
        <f>(12.97+12.48+12.88)/3</f>
        <v>12.78</v>
      </c>
      <c r="BO24" s="7">
        <f>(14.52+14.58)/2</f>
        <v>14.55</v>
      </c>
      <c r="BP24" s="89">
        <v>0.92</v>
      </c>
      <c r="BQ24" s="7">
        <f t="shared" si="26"/>
        <v>13.63</v>
      </c>
      <c r="BR24" s="1">
        <f t="shared" si="27"/>
        <v>-0.85000000000000098</v>
      </c>
      <c r="BS24" s="83"/>
      <c r="BT24" s="93">
        <f>BR24*BM24</f>
        <v>-64.285500000000098</v>
      </c>
      <c r="BU24" s="80"/>
      <c r="BV24" s="4"/>
    </row>
    <row r="25" spans="1:84" ht="15.75" thickBot="1" x14ac:dyDescent="0.3">
      <c r="A25" s="107"/>
      <c r="B25" s="108" t="s">
        <v>1</v>
      </c>
      <c r="C25" s="109">
        <v>212.08</v>
      </c>
      <c r="D25" s="110">
        <f>(12.74+12.61+12.69)/3</f>
        <v>12.68</v>
      </c>
      <c r="E25" s="109">
        <v>13.91</v>
      </c>
      <c r="F25" s="108">
        <f t="shared" si="11"/>
        <v>1.5</v>
      </c>
      <c r="G25" s="109">
        <f t="shared" si="8"/>
        <v>12.41</v>
      </c>
      <c r="H25" s="109">
        <f>D25-G25</f>
        <v>0.27</v>
      </c>
      <c r="I25" s="111">
        <f t="shared" si="16"/>
        <v>57.26</v>
      </c>
      <c r="J25" s="112"/>
      <c r="K25" s="112"/>
      <c r="L25" s="113"/>
      <c r="M25" s="116">
        <f>SUM(I6:I25)</f>
        <v>3020.35</v>
      </c>
      <c r="N25" s="116">
        <f>SUM(J6:J25)</f>
        <v>0</v>
      </c>
      <c r="T25" s="102"/>
      <c r="U25" s="89" t="s">
        <v>3</v>
      </c>
      <c r="V25" s="77">
        <v>100.11</v>
      </c>
      <c r="W25" s="77">
        <f>(13.27+13.23+13.45+13.45)/4</f>
        <v>13.35</v>
      </c>
      <c r="X25" s="7">
        <v>14.1</v>
      </c>
      <c r="Y25" s="89">
        <f t="shared" si="17"/>
        <v>0.92</v>
      </c>
      <c r="Z25" s="7">
        <f>X25-Y25</f>
        <v>13.18</v>
      </c>
      <c r="AA25" s="7">
        <f t="shared" si="21"/>
        <v>0.17</v>
      </c>
      <c r="AB25" s="92">
        <f>AA25*V25</f>
        <v>17.02</v>
      </c>
      <c r="AC25" s="93"/>
      <c r="AD25" s="80"/>
      <c r="AE25" s="103"/>
      <c r="AP25" s="11"/>
      <c r="AQ25" s="89" t="s">
        <v>4</v>
      </c>
      <c r="AR25" s="7">
        <v>53.14</v>
      </c>
      <c r="AS25" s="77">
        <f>(12.87+12.98+12.81+12.88)/4</f>
        <v>12.89</v>
      </c>
      <c r="AT25" s="7">
        <f>(13.48+13.44+13.49)/3</f>
        <v>13.47</v>
      </c>
      <c r="AU25" s="89">
        <f t="shared" si="22"/>
        <v>1.66</v>
      </c>
      <c r="AV25" s="7">
        <f t="shared" si="23"/>
        <v>11.81</v>
      </c>
      <c r="AW25" s="1">
        <f t="shared" si="24"/>
        <v>1.08</v>
      </c>
      <c r="AX25" s="83">
        <f t="shared" si="25"/>
        <v>57.39</v>
      </c>
      <c r="AY25" s="93"/>
      <c r="AZ25" s="80"/>
      <c r="BA25" s="4"/>
      <c r="BK25" s="11"/>
      <c r="BL25" s="89"/>
      <c r="BM25" s="7">
        <v>327.82</v>
      </c>
      <c r="BN25" s="77">
        <f>(12.54+12.82+13.3+13.01)/4</f>
        <v>12.92</v>
      </c>
      <c r="BO25" s="7">
        <f>(14.95+14.84+14.95+14.94+15.06+15)/6</f>
        <v>14.96</v>
      </c>
      <c r="BP25" s="89">
        <v>0.92</v>
      </c>
      <c r="BQ25" s="7">
        <f t="shared" si="26"/>
        <v>14.04</v>
      </c>
      <c r="BR25" s="1">
        <f t="shared" si="27"/>
        <v>-1.1200000000000001</v>
      </c>
      <c r="BS25" s="83"/>
      <c r="BT25" s="93">
        <f>BR25*BM25</f>
        <v>-367.15839999999997</v>
      </c>
      <c r="BU25" s="80"/>
      <c r="BV25" s="4"/>
    </row>
    <row r="26" spans="1:84" ht="46.5" thickTop="1" thickBot="1" x14ac:dyDescent="0.3">
      <c r="A26" s="105" t="s">
        <v>2</v>
      </c>
      <c r="B26" s="89" t="s">
        <v>3</v>
      </c>
      <c r="C26" s="90">
        <v>225.74</v>
      </c>
      <c r="D26" s="91">
        <f>(12.28+13.2+13.44+13.33+13.36)/5</f>
        <v>13.12</v>
      </c>
      <c r="E26" s="90">
        <v>14.69</v>
      </c>
      <c r="F26" s="89">
        <f>0.04+0.04+0.34+0.5+0.3</f>
        <v>1.22</v>
      </c>
      <c r="G26" s="90">
        <f>E26-F26</f>
        <v>13.47</v>
      </c>
      <c r="H26" s="90">
        <f>D26-G26</f>
        <v>-0.35</v>
      </c>
      <c r="I26" s="92"/>
      <c r="J26" s="93">
        <f>H26*C26</f>
        <v>-79.009</v>
      </c>
      <c r="K26" s="93"/>
      <c r="L26" s="106"/>
      <c r="M26" s="104"/>
      <c r="T26" s="102"/>
      <c r="U26" s="89" t="s">
        <v>3</v>
      </c>
      <c r="V26" s="77">
        <v>86.3</v>
      </c>
      <c r="W26" s="77">
        <f>(13.27+13.23+13.45+13.45)/4</f>
        <v>13.35</v>
      </c>
      <c r="X26" s="7">
        <f>(14.07+14.13+14.07+14.13)/4</f>
        <v>14.1</v>
      </c>
      <c r="Y26" s="89">
        <f t="shared" si="17"/>
        <v>0.92</v>
      </c>
      <c r="Z26" s="7">
        <f>X26-Y26</f>
        <v>13.18</v>
      </c>
      <c r="AA26" s="7">
        <f t="shared" si="21"/>
        <v>0.17</v>
      </c>
      <c r="AB26" s="92">
        <f>AA26*V26</f>
        <v>14.67</v>
      </c>
      <c r="AC26" s="93"/>
      <c r="AD26" s="80"/>
      <c r="AE26" s="103"/>
      <c r="AF26" s="116">
        <f>SUM(AB13:AB30)</f>
        <v>77.53</v>
      </c>
      <c r="AG26" s="116">
        <f>SUM(AC13:AC30)</f>
        <v>-428.05</v>
      </c>
      <c r="AP26" s="114"/>
      <c r="AQ26" s="108"/>
      <c r="AR26" s="109">
        <v>36.6</v>
      </c>
      <c r="AS26" s="110">
        <f>(12.81+12.88+12.86+12.76+12.75)/5</f>
        <v>12.81</v>
      </c>
      <c r="AT26" s="109">
        <f>(13.47+13.45+13.47+13.45)/4</f>
        <v>13.46</v>
      </c>
      <c r="AU26" s="108">
        <f t="shared" si="22"/>
        <v>1.66</v>
      </c>
      <c r="AV26" s="109">
        <f t="shared" si="23"/>
        <v>11.8</v>
      </c>
      <c r="AW26" s="108">
        <f t="shared" si="24"/>
        <v>1.01</v>
      </c>
      <c r="AX26" s="111">
        <f t="shared" si="25"/>
        <v>36.97</v>
      </c>
      <c r="AY26" s="112"/>
      <c r="AZ26" s="112"/>
      <c r="BA26" s="115"/>
      <c r="BB26" s="116">
        <f>SUM(AX21:AX26)</f>
        <v>292.23</v>
      </c>
      <c r="BC26" s="116">
        <f>SUM(AY21:AY26)</f>
        <v>0</v>
      </c>
      <c r="BK26" s="114"/>
      <c r="BL26" s="108"/>
      <c r="BM26" s="109">
        <v>427.08</v>
      </c>
      <c r="BN26" s="110">
        <f>(13.16+13.21+13.2+13.18+13.31+13.4)/6</f>
        <v>13.24</v>
      </c>
      <c r="BO26" s="109">
        <f>(13.21+13.25+13.92+13.98+13.94+14.09+14.18+14.33)/8</f>
        <v>13.86</v>
      </c>
      <c r="BP26" s="109">
        <v>0.92</v>
      </c>
      <c r="BQ26" s="109">
        <f t="shared" si="26"/>
        <v>12.94</v>
      </c>
      <c r="BR26" s="108">
        <f t="shared" si="27"/>
        <v>0.30000000000000099</v>
      </c>
      <c r="BS26" s="111">
        <f>BR26*BM26</f>
        <v>128.12</v>
      </c>
      <c r="BT26" s="112"/>
      <c r="BU26" s="112"/>
      <c r="BV26" s="115"/>
      <c r="BW26" s="116">
        <f>SUM(BS21:BS26)</f>
        <v>185.62</v>
      </c>
      <c r="BX26" s="116">
        <f>SUM(BT21:BT26)</f>
        <v>-457.85</v>
      </c>
      <c r="BZ26" s="143">
        <f>AVERAGE(BZ27:CB37)</f>
        <v>13.430624999999999</v>
      </c>
      <c r="CE26" s="143">
        <f>AVERAGE(CE27:CF36)</f>
        <v>14.8129411764706</v>
      </c>
    </row>
    <row r="27" spans="1:84" ht="15.75" thickTop="1" x14ac:dyDescent="0.25">
      <c r="A27" s="102">
        <f>2506.5206</f>
        <v>2506.5205999999998</v>
      </c>
      <c r="B27" s="89" t="s">
        <v>3</v>
      </c>
      <c r="C27" s="7">
        <v>270.86</v>
      </c>
      <c r="D27" s="77">
        <f>(13.2+13.35+13.44+13.2+13.08)/5</f>
        <v>13.25</v>
      </c>
      <c r="E27" s="7">
        <f>(14.75+14.69+14.64+14.7+14.6+14.66)/6</f>
        <v>14.67</v>
      </c>
      <c r="F27" s="89">
        <f t="shared" ref="F27:F36" si="28">0.04+0.04+0.34+0.5+0.3</f>
        <v>1.22</v>
      </c>
      <c r="G27" s="1">
        <f t="shared" ref="G27:G36" si="29">E27-F27</f>
        <v>13.45</v>
      </c>
      <c r="H27" s="7">
        <f t="shared" ref="H27:H36" si="30">D27-G27</f>
        <v>-0.2</v>
      </c>
      <c r="I27" s="83"/>
      <c r="J27" s="93">
        <f>H27*C27</f>
        <v>-54.171999999999997</v>
      </c>
      <c r="K27" s="80"/>
      <c r="L27" s="103"/>
      <c r="T27" s="102"/>
      <c r="U27" s="89" t="s">
        <v>3</v>
      </c>
      <c r="V27" s="77">
        <v>184.5</v>
      </c>
      <c r="W27" s="77">
        <f>(12.85+12.81+12.54)/3</f>
        <v>12.73</v>
      </c>
      <c r="X27" s="7">
        <f>(14.18+14.24+14.24+14.18)/4</f>
        <v>14.21</v>
      </c>
      <c r="Y27" s="89">
        <f t="shared" si="17"/>
        <v>0.92</v>
      </c>
      <c r="Z27" s="7">
        <f>X27-Y27</f>
        <v>13.29</v>
      </c>
      <c r="AA27" s="7">
        <f>W27-Z27</f>
        <v>-0.56000000000000005</v>
      </c>
      <c r="AB27" s="92"/>
      <c r="AC27" s="93">
        <f>AA27*V27</f>
        <v>-103.32</v>
      </c>
      <c r="AD27" s="80"/>
      <c r="AE27" s="103"/>
      <c r="AF27" s="116"/>
      <c r="AG27" s="116"/>
      <c r="AP27" s="88"/>
      <c r="AQ27" s="89"/>
      <c r="AR27" s="90"/>
      <c r="AS27" s="91"/>
      <c r="AT27" s="90"/>
      <c r="AU27" s="89"/>
      <c r="AV27" s="89"/>
      <c r="AW27" s="89"/>
      <c r="AX27" s="92"/>
      <c r="AY27" s="93"/>
      <c r="AZ27" s="93"/>
      <c r="BA27" s="94"/>
      <c r="BE27" s="146">
        <f>AVERAGE(BE28:BH38)</f>
        <v>13.0213157894737</v>
      </c>
      <c r="BK27" s="88"/>
      <c r="BL27" s="89"/>
      <c r="BM27" s="90"/>
      <c r="BN27" s="91"/>
      <c r="BO27" s="90"/>
      <c r="BP27" s="89"/>
      <c r="BQ27" s="89"/>
      <c r="BR27" s="89"/>
      <c r="BS27" s="92"/>
      <c r="BT27" s="93"/>
      <c r="BU27" s="93"/>
      <c r="BV27" s="94"/>
      <c r="BZ27">
        <v>13.22</v>
      </c>
      <c r="CA27">
        <v>13.36</v>
      </c>
      <c r="CB27">
        <v>13.4</v>
      </c>
      <c r="CE27">
        <v>13.49</v>
      </c>
      <c r="CF27">
        <v>16.05</v>
      </c>
    </row>
    <row r="28" spans="1:84" x14ac:dyDescent="0.25">
      <c r="A28" s="102"/>
      <c r="B28" s="89" t="s">
        <v>3</v>
      </c>
      <c r="C28" s="7">
        <v>255.92</v>
      </c>
      <c r="D28" s="77">
        <f>(13.35+13.4+13.2+13.2)/4</f>
        <v>13.29</v>
      </c>
      <c r="E28" s="7">
        <f>(14.8+14.86+14.77+14.71)/4</f>
        <v>14.79</v>
      </c>
      <c r="F28" s="89">
        <f t="shared" si="28"/>
        <v>1.22</v>
      </c>
      <c r="G28" s="1">
        <f t="shared" si="29"/>
        <v>13.57</v>
      </c>
      <c r="H28" s="7">
        <f t="shared" si="30"/>
        <v>-0.28000000000000003</v>
      </c>
      <c r="I28" s="83"/>
      <c r="J28" s="93">
        <f>H28*C28</f>
        <v>-71.657600000000002</v>
      </c>
      <c r="K28" s="80"/>
      <c r="L28" s="103"/>
      <c r="T28" s="102"/>
      <c r="U28" s="89"/>
      <c r="V28" s="77">
        <v>161.06</v>
      </c>
      <c r="W28" s="77">
        <f>(13.48+13.47+13.25+13.15)/4</f>
        <v>13.34</v>
      </c>
      <c r="X28" s="7">
        <f>(14.07+14.13)/2</f>
        <v>14.1</v>
      </c>
      <c r="Y28" s="89">
        <f t="shared" si="17"/>
        <v>0.92</v>
      </c>
      <c r="Z28" s="1">
        <f>X28-Y28</f>
        <v>13.18</v>
      </c>
      <c r="AA28" s="7">
        <f>W28-Z28</f>
        <v>0.16</v>
      </c>
      <c r="AB28" s="92">
        <f>AA28*V28</f>
        <v>25.77</v>
      </c>
      <c r="AC28" s="93"/>
      <c r="AD28" s="80"/>
      <c r="AE28" s="103"/>
      <c r="AF28" s="73"/>
      <c r="AP28" s="11" t="s">
        <v>68</v>
      </c>
      <c r="AQ28" s="1"/>
      <c r="AR28" s="14"/>
      <c r="AS28" s="77"/>
      <c r="AT28" s="7"/>
      <c r="AU28" s="1"/>
      <c r="AV28" s="1"/>
      <c r="AW28" s="1"/>
      <c r="AX28" s="83"/>
      <c r="AY28" s="80"/>
      <c r="AZ28" s="80"/>
      <c r="BA28" s="4"/>
      <c r="BB28" s="76"/>
      <c r="BE28">
        <v>13.12</v>
      </c>
      <c r="BF28">
        <v>13.71</v>
      </c>
      <c r="BG28">
        <v>12.94</v>
      </c>
      <c r="BH28">
        <v>13.03</v>
      </c>
      <c r="BK28" s="11" t="s">
        <v>108</v>
      </c>
      <c r="BL28" s="1"/>
      <c r="BM28" s="14"/>
      <c r="BN28" s="77"/>
      <c r="BO28" s="7"/>
      <c r="BP28" s="1"/>
      <c r="BQ28" s="1"/>
      <c r="BR28" s="1"/>
      <c r="BS28" s="83"/>
      <c r="BT28" s="80"/>
      <c r="BU28" s="80"/>
      <c r="BV28" s="4"/>
      <c r="BW28" s="76"/>
      <c r="BZ28">
        <v>13.4</v>
      </c>
      <c r="CA28">
        <v>13.44</v>
      </c>
      <c r="CB28">
        <v>14.65</v>
      </c>
      <c r="CE28">
        <v>13.92</v>
      </c>
      <c r="CF28">
        <v>15.53</v>
      </c>
    </row>
    <row r="29" spans="1:84" x14ac:dyDescent="0.25">
      <c r="A29" s="102"/>
      <c r="B29" s="89" t="s">
        <v>3</v>
      </c>
      <c r="C29" s="7">
        <v>22.05</v>
      </c>
      <c r="D29" s="77">
        <f>(12.54+13.17+13.31+12.61)/4</f>
        <v>12.91</v>
      </c>
      <c r="E29" s="7">
        <f>(14.24+13.3)/2</f>
        <v>13.77</v>
      </c>
      <c r="F29" s="89">
        <f t="shared" si="28"/>
        <v>1.22</v>
      </c>
      <c r="G29" s="7">
        <f>E29-F29</f>
        <v>12.55</v>
      </c>
      <c r="H29" s="7">
        <f t="shared" si="30"/>
        <v>0.36</v>
      </c>
      <c r="I29" s="92">
        <f>H29*C29</f>
        <v>7.94</v>
      </c>
      <c r="J29" s="80"/>
      <c r="K29" s="80"/>
      <c r="L29" s="103"/>
      <c r="T29" s="102"/>
      <c r="U29" s="89" t="s">
        <v>3</v>
      </c>
      <c r="V29" s="77">
        <v>215.8</v>
      </c>
      <c r="W29" s="77">
        <f>(13.22+13.45+13.27+12.72+12.82+12.97+13.48+12.7)/8</f>
        <v>13.08</v>
      </c>
      <c r="X29" s="7">
        <f>(14.07+14.02+14.07+14.02+14.07+14.02)/6</f>
        <v>14.05</v>
      </c>
      <c r="Y29" s="89">
        <f t="shared" si="17"/>
        <v>0.92</v>
      </c>
      <c r="Z29" s="1">
        <f t="shared" si="20"/>
        <v>13.13</v>
      </c>
      <c r="AA29" s="7">
        <f t="shared" si="21"/>
        <v>-0.05</v>
      </c>
      <c r="AB29" s="92"/>
      <c r="AC29" s="80">
        <f>AA29*V29</f>
        <v>-10.79</v>
      </c>
      <c r="AD29" s="80"/>
      <c r="AE29" s="103"/>
      <c r="AP29" s="11" t="s">
        <v>6</v>
      </c>
      <c r="AQ29" s="11"/>
      <c r="AR29" s="7">
        <v>348.91</v>
      </c>
      <c r="AS29" s="77">
        <f>BE27</f>
        <v>13.02</v>
      </c>
      <c r="AT29" s="7">
        <f>BE41</f>
        <v>13.79</v>
      </c>
      <c r="AU29" s="1">
        <v>0.2</v>
      </c>
      <c r="AV29" s="7">
        <f>AT29-AU29</f>
        <v>13.59</v>
      </c>
      <c r="AW29" s="7">
        <f>AS29-AV29</f>
        <v>-0.56999999999999995</v>
      </c>
      <c r="AX29" s="83"/>
      <c r="AY29" s="93">
        <f>AW29*AR29</f>
        <v>-198.87870000000001</v>
      </c>
      <c r="AZ29" s="80"/>
      <c r="BA29" s="4"/>
      <c r="BE29">
        <v>13.2</v>
      </c>
      <c r="BF29">
        <v>12.84</v>
      </c>
      <c r="BG29">
        <v>13.03</v>
      </c>
      <c r="BH29">
        <v>13.33</v>
      </c>
      <c r="BK29" s="11">
        <v>6536.5047999999997</v>
      </c>
      <c r="BL29" s="11"/>
      <c r="BM29" s="7">
        <v>6536.5</v>
      </c>
      <c r="BN29" s="147">
        <f>BZ26</f>
        <v>13.43</v>
      </c>
      <c r="BO29" s="7">
        <f>CE26</f>
        <v>14.81</v>
      </c>
      <c r="BP29" s="1">
        <v>0.2</v>
      </c>
      <c r="BQ29" s="7">
        <f>BO29-BP29</f>
        <v>14.61</v>
      </c>
      <c r="BR29" s="7">
        <f>BN29-BQ29</f>
        <v>-1.18</v>
      </c>
      <c r="BS29" s="83"/>
      <c r="BT29" s="93">
        <f>BR29*BM29</f>
        <v>-7713.07</v>
      </c>
      <c r="BU29" s="80"/>
      <c r="BV29" s="4"/>
      <c r="BZ29">
        <v>13.08</v>
      </c>
      <c r="CA29">
        <v>13.31</v>
      </c>
      <c r="CB29">
        <v>14.28</v>
      </c>
      <c r="CE29">
        <v>13.93</v>
      </c>
      <c r="CF29">
        <v>15.26</v>
      </c>
    </row>
    <row r="30" spans="1:84" ht="15.75" thickBot="1" x14ac:dyDescent="0.3">
      <c r="A30" s="102"/>
      <c r="B30" s="89" t="s">
        <v>3</v>
      </c>
      <c r="C30" s="7">
        <v>22.09</v>
      </c>
      <c r="D30" s="77">
        <f>(13.15+13.25+13.17+13.31)/4</f>
        <v>13.22</v>
      </c>
      <c r="E30" s="7">
        <f>(14.13+14.19)/2</f>
        <v>14.16</v>
      </c>
      <c r="F30" s="89">
        <f t="shared" si="28"/>
        <v>1.22</v>
      </c>
      <c r="G30" s="1">
        <f t="shared" si="29"/>
        <v>12.94</v>
      </c>
      <c r="H30" s="7">
        <f t="shared" si="30"/>
        <v>0.28000000000000003</v>
      </c>
      <c r="I30" s="92">
        <f>H30*C30</f>
        <v>6.19</v>
      </c>
      <c r="J30" s="80"/>
      <c r="K30" s="80"/>
      <c r="L30" s="103"/>
      <c r="T30" s="107"/>
      <c r="U30" s="108"/>
      <c r="V30" s="109"/>
      <c r="W30" s="110"/>
      <c r="X30" s="109"/>
      <c r="Y30" s="108"/>
      <c r="Z30" s="108">
        <f t="shared" si="18"/>
        <v>0</v>
      </c>
      <c r="AA30" s="109">
        <f t="shared" si="19"/>
        <v>0</v>
      </c>
      <c r="AB30" s="111"/>
      <c r="AC30" s="112"/>
      <c r="AD30" s="112"/>
      <c r="AE30" s="113"/>
      <c r="AP30" s="11">
        <v>348.911</v>
      </c>
      <c r="AQ30" s="11"/>
      <c r="AR30" s="7"/>
      <c r="AS30" s="77"/>
      <c r="AT30" s="7"/>
      <c r="AU30" s="1"/>
      <c r="AV30" s="7">
        <f>AT30-AU30</f>
        <v>0</v>
      </c>
      <c r="AW30" s="7">
        <f>AS30-AV30</f>
        <v>0</v>
      </c>
      <c r="AX30" s="83"/>
      <c r="AY30" s="80"/>
      <c r="AZ30" s="80"/>
      <c r="BA30" s="4"/>
      <c r="BD30" s="73"/>
      <c r="BE30">
        <v>13.22</v>
      </c>
      <c r="BF30">
        <v>12.87</v>
      </c>
      <c r="BG30">
        <v>12.88</v>
      </c>
      <c r="BH30">
        <v>13.21</v>
      </c>
      <c r="BK30" s="11"/>
      <c r="BL30" s="11"/>
      <c r="BM30" s="7"/>
      <c r="BN30" s="77"/>
      <c r="BO30" s="7"/>
      <c r="BP30" s="1"/>
      <c r="BQ30" s="7">
        <f>BO30-BP30</f>
        <v>0</v>
      </c>
      <c r="BR30" s="7">
        <f>BN30-BQ30</f>
        <v>0</v>
      </c>
      <c r="BS30" s="83"/>
      <c r="BT30" s="80"/>
      <c r="BU30" s="80"/>
      <c r="BV30" s="4"/>
      <c r="BY30" s="73"/>
      <c r="BZ30">
        <v>13.71</v>
      </c>
      <c r="CA30">
        <v>13.34</v>
      </c>
      <c r="CB30">
        <v>14.2</v>
      </c>
      <c r="CE30">
        <v>14.23</v>
      </c>
      <c r="CF30">
        <v>15.09</v>
      </c>
    </row>
    <row r="31" spans="1:84" ht="30.75" thickTop="1" x14ac:dyDescent="0.25">
      <c r="A31" s="102"/>
      <c r="B31" s="89" t="s">
        <v>3</v>
      </c>
      <c r="C31" s="7">
        <v>8.0399999999999991</v>
      </c>
      <c r="D31" s="77">
        <f>(12.7+12.75+12.84+12.98)/4</f>
        <v>12.82</v>
      </c>
      <c r="E31" s="7">
        <f>(14.08+14.07)/2</f>
        <v>14.08</v>
      </c>
      <c r="F31" s="89">
        <f t="shared" si="28"/>
        <v>1.22</v>
      </c>
      <c r="G31" s="1">
        <f t="shared" si="29"/>
        <v>12.86</v>
      </c>
      <c r="H31" s="7">
        <f t="shared" si="30"/>
        <v>-0.04</v>
      </c>
      <c r="I31" s="83"/>
      <c r="J31" s="93">
        <f>H31*C31</f>
        <v>-0.3216</v>
      </c>
      <c r="K31" s="80"/>
      <c r="L31" s="103"/>
      <c r="T31" s="88" t="s">
        <v>5</v>
      </c>
      <c r="U31" s="89" t="s">
        <v>4</v>
      </c>
      <c r="V31" s="90">
        <v>40.020000000000003</v>
      </c>
      <c r="W31" s="91">
        <f>(13.29+13.21)/2</f>
        <v>13.25</v>
      </c>
      <c r="X31" s="90">
        <f>(13.81+13.8+13.79+13.81)/4</f>
        <v>13.8</v>
      </c>
      <c r="Y31" s="89">
        <f>0.08+0.05+0.15</f>
        <v>0.28000000000000003</v>
      </c>
      <c r="Z31" s="7">
        <f t="shared" ref="Z31:Z36" si="31">X31-Y31</f>
        <v>13.52</v>
      </c>
      <c r="AA31" s="90">
        <f t="shared" ref="AA31:AA36" si="32">W31-Z31</f>
        <v>-0.27</v>
      </c>
      <c r="AB31" s="92"/>
      <c r="AC31" s="93">
        <f>AA31*V31</f>
        <v>-10.805400000000001</v>
      </c>
      <c r="AD31" s="93"/>
      <c r="AE31" s="94"/>
      <c r="AP31" s="11"/>
      <c r="AQ31" s="11"/>
      <c r="AR31" s="7"/>
      <c r="AS31" s="77"/>
      <c r="AT31" s="7"/>
      <c r="AU31" s="1"/>
      <c r="AV31" s="7">
        <f>AT31-AU31</f>
        <v>0</v>
      </c>
      <c r="AW31" s="7">
        <f>AS31-AV31</f>
        <v>0</v>
      </c>
      <c r="AX31" s="83"/>
      <c r="AY31" s="80"/>
      <c r="AZ31" s="80"/>
      <c r="BA31" s="4"/>
      <c r="BD31" s="122"/>
      <c r="BE31">
        <v>13.07</v>
      </c>
      <c r="BF31">
        <v>12.98</v>
      </c>
      <c r="BG31">
        <v>12.9</v>
      </c>
      <c r="BH31">
        <v>13.22</v>
      </c>
      <c r="BK31" s="11"/>
      <c r="BL31" s="11"/>
      <c r="BM31" s="7"/>
      <c r="BN31" s="77"/>
      <c r="BO31" s="7"/>
      <c r="BP31" s="1"/>
      <c r="BQ31" s="7">
        <f>BO31-BP31</f>
        <v>0</v>
      </c>
      <c r="BR31" s="7">
        <f>BN31-BQ31</f>
        <v>0</v>
      </c>
      <c r="BS31" s="83"/>
      <c r="BT31" s="80"/>
      <c r="BU31" s="80"/>
      <c r="BV31" s="4"/>
      <c r="BY31" s="122"/>
      <c r="BZ31">
        <v>13.24</v>
      </c>
      <c r="CA31">
        <v>13.33</v>
      </c>
      <c r="CB31">
        <v>13.68</v>
      </c>
      <c r="CE31">
        <v>14.2</v>
      </c>
      <c r="CF31">
        <v>15.03</v>
      </c>
    </row>
    <row r="32" spans="1:84" x14ac:dyDescent="0.25">
      <c r="A32" s="102"/>
      <c r="B32" s="89" t="s">
        <v>3</v>
      </c>
      <c r="C32" s="7">
        <v>870.37</v>
      </c>
      <c r="D32" s="77">
        <f>(12.67+13.6+13.57+13.34+13.39+13.4+13.35+13.61+13.27+13.33+13.27+13.23)/12</f>
        <v>13.34</v>
      </c>
      <c r="E32" s="7">
        <f>(14.55+14.65+14.52)/3</f>
        <v>14.57</v>
      </c>
      <c r="F32" s="89">
        <f t="shared" si="28"/>
        <v>1.22</v>
      </c>
      <c r="G32" s="1">
        <f t="shared" si="29"/>
        <v>13.35</v>
      </c>
      <c r="H32" s="7">
        <f t="shared" si="30"/>
        <v>-0.01</v>
      </c>
      <c r="I32" s="83"/>
      <c r="J32" s="93">
        <f>H32*C32</f>
        <v>-8.7036999999999995</v>
      </c>
      <c r="K32" s="80"/>
      <c r="L32" s="103"/>
      <c r="T32" s="11">
        <v>280</v>
      </c>
      <c r="U32" s="89" t="s">
        <v>4</v>
      </c>
      <c r="V32" s="7">
        <v>43.29</v>
      </c>
      <c r="W32" s="77">
        <f>(13.11+13.06)/2</f>
        <v>13.09</v>
      </c>
      <c r="X32" s="7">
        <f>(13.8+13.79+13.81+13.79+13.81+13.79+13.81+13.79)/8</f>
        <v>13.8</v>
      </c>
      <c r="Y32" s="89">
        <f>0.08+0.05+0.15</f>
        <v>0.28000000000000003</v>
      </c>
      <c r="Z32" s="7">
        <f t="shared" si="31"/>
        <v>13.52</v>
      </c>
      <c r="AA32" s="7">
        <f t="shared" si="32"/>
        <v>-0.43</v>
      </c>
      <c r="AB32" s="83"/>
      <c r="AC32" s="93">
        <f>AA32*V32</f>
        <v>-18.614699999999999</v>
      </c>
      <c r="AD32" s="80"/>
      <c r="AE32" s="4"/>
      <c r="AP32" s="11" t="s">
        <v>66</v>
      </c>
      <c r="AQ32" s="1"/>
      <c r="AR32" s="7"/>
      <c r="AS32" s="77"/>
      <c r="AT32" s="7"/>
      <c r="AU32" s="1"/>
      <c r="AV32" s="1"/>
      <c r="AW32" s="7"/>
      <c r="AX32" s="83"/>
      <c r="AY32" s="80"/>
      <c r="AZ32" s="80"/>
      <c r="BA32" s="4"/>
      <c r="BE32">
        <v>12.94</v>
      </c>
      <c r="BF32">
        <v>12.86</v>
      </c>
      <c r="BG32">
        <v>12.85</v>
      </c>
      <c r="BH32">
        <v>12.97</v>
      </c>
      <c r="BK32" s="11"/>
      <c r="BL32" s="1"/>
      <c r="BM32" s="7"/>
      <c r="BN32" s="77"/>
      <c r="BO32" s="7"/>
      <c r="BP32" s="1"/>
      <c r="BQ32" s="1"/>
      <c r="BR32" s="7"/>
      <c r="BS32" s="83"/>
      <c r="BT32" s="80"/>
      <c r="BU32" s="80"/>
      <c r="BV32" s="4"/>
      <c r="BZ32">
        <v>13.31</v>
      </c>
      <c r="CA32">
        <v>13.34</v>
      </c>
      <c r="CB32">
        <v>13.01</v>
      </c>
      <c r="CE32">
        <v>14.95</v>
      </c>
      <c r="CF32">
        <v>14.33</v>
      </c>
    </row>
    <row r="33" spans="1:84" x14ac:dyDescent="0.25">
      <c r="A33" s="102"/>
      <c r="B33" s="89" t="s">
        <v>3</v>
      </c>
      <c r="C33" s="7">
        <v>237.1</v>
      </c>
      <c r="D33" s="77">
        <f>(13.53+13.7+13.73+13.88)/4</f>
        <v>13.71</v>
      </c>
      <c r="E33" s="7">
        <f>(15.06+15.12)/2</f>
        <v>15.09</v>
      </c>
      <c r="F33" s="89">
        <f t="shared" si="28"/>
        <v>1.22</v>
      </c>
      <c r="G33" s="1">
        <f t="shared" si="29"/>
        <v>13.87</v>
      </c>
      <c r="H33" s="7">
        <f t="shared" si="30"/>
        <v>-0.16</v>
      </c>
      <c r="I33" s="83"/>
      <c r="J33" s="93">
        <f>H33*C33</f>
        <v>-37.936</v>
      </c>
      <c r="K33" s="80"/>
      <c r="L33" s="103"/>
      <c r="T33" s="11"/>
      <c r="U33" s="89" t="s">
        <v>4</v>
      </c>
      <c r="V33" s="7">
        <v>37.22</v>
      </c>
      <c r="W33" s="77">
        <f>(12.81+13.28)/2</f>
        <v>13.05</v>
      </c>
      <c r="X33" s="7">
        <f>(13.79+13.81+13.79+13.81)/4</f>
        <v>13.8</v>
      </c>
      <c r="Y33" s="89">
        <f>0.08+0.05+0.15</f>
        <v>0.28000000000000003</v>
      </c>
      <c r="Z33" s="7">
        <f t="shared" si="31"/>
        <v>13.52</v>
      </c>
      <c r="AA33" s="1">
        <f t="shared" si="32"/>
        <v>-0.46999999999999897</v>
      </c>
      <c r="AB33" s="83"/>
      <c r="AC33" s="93">
        <f>AA33*V33</f>
        <v>-17.493400000000001</v>
      </c>
      <c r="AD33" s="80"/>
      <c r="AE33" s="4"/>
      <c r="AP33" s="84"/>
      <c r="AQ33" s="85"/>
      <c r="AR33" s="117"/>
      <c r="AS33" s="118"/>
      <c r="AT33" s="117"/>
      <c r="AU33" s="85"/>
      <c r="AV33" s="85"/>
      <c r="AW33" s="117"/>
      <c r="AX33" s="119"/>
      <c r="AY33" s="86"/>
      <c r="AZ33" s="86"/>
      <c r="BA33" s="87"/>
      <c r="BE33">
        <v>13.07</v>
      </c>
      <c r="BF33">
        <v>12.76</v>
      </c>
      <c r="BG33">
        <v>12.71</v>
      </c>
      <c r="BH33">
        <v>13.17</v>
      </c>
      <c r="BK33" s="84"/>
      <c r="BL33" s="85"/>
      <c r="BM33" s="117"/>
      <c r="BN33" s="118"/>
      <c r="BO33" s="117"/>
      <c r="BP33" s="85"/>
      <c r="BQ33" s="85"/>
      <c r="BR33" s="117"/>
      <c r="BS33" s="119"/>
      <c r="BT33" s="86"/>
      <c r="BU33" s="86"/>
      <c r="BV33" s="87"/>
      <c r="BZ33">
        <v>13.59</v>
      </c>
      <c r="CA33">
        <v>13.91</v>
      </c>
      <c r="CB33">
        <v>14.12</v>
      </c>
      <c r="CE33">
        <v>15.06</v>
      </c>
      <c r="CF33">
        <v>13.98</v>
      </c>
    </row>
    <row r="34" spans="1:84" x14ac:dyDescent="0.25">
      <c r="A34" s="102"/>
      <c r="B34" s="89" t="s">
        <v>3</v>
      </c>
      <c r="C34" s="7">
        <v>388.7</v>
      </c>
      <c r="D34" s="77">
        <f>(12.97+13.06+13.11+13.35+13.06+12.95+13.46+13.78+13.72+13.68)/10</f>
        <v>13.31</v>
      </c>
      <c r="E34" s="7">
        <f>(14.32+15.12)/2</f>
        <v>14.72</v>
      </c>
      <c r="F34" s="89">
        <f t="shared" si="28"/>
        <v>1.22</v>
      </c>
      <c r="G34" s="1">
        <f t="shared" si="29"/>
        <v>13.5</v>
      </c>
      <c r="H34" s="7">
        <f t="shared" si="30"/>
        <v>-0.19</v>
      </c>
      <c r="I34" s="83"/>
      <c r="J34" s="93">
        <f>H34*C34</f>
        <v>-73.852999999999994</v>
      </c>
      <c r="K34" s="80"/>
      <c r="L34" s="103"/>
      <c r="T34" s="11"/>
      <c r="U34" s="89" t="s">
        <v>4</v>
      </c>
      <c r="V34" s="7">
        <v>55.73</v>
      </c>
      <c r="W34" s="77">
        <f>(12.98+12.84)/2</f>
        <v>12.91</v>
      </c>
      <c r="X34" s="7">
        <f>(13.82+13.87+13.8)/3</f>
        <v>13.83</v>
      </c>
      <c r="Y34" s="89">
        <f>0.08+0.05+0.15</f>
        <v>0.28000000000000003</v>
      </c>
      <c r="Z34" s="7">
        <f t="shared" si="31"/>
        <v>13.55</v>
      </c>
      <c r="AA34" s="1">
        <f t="shared" si="32"/>
        <v>-0.64000000000000101</v>
      </c>
      <c r="AB34" s="83"/>
      <c r="AC34" s="93">
        <f>AA34*V34</f>
        <v>-35.667200000000101</v>
      </c>
      <c r="AD34" s="80"/>
      <c r="AE34" s="4"/>
      <c r="AP34" s="84"/>
      <c r="AQ34" s="85"/>
      <c r="AR34" s="117"/>
      <c r="AS34" s="118"/>
      <c r="AT34" s="117"/>
      <c r="AU34" s="85"/>
      <c r="AV34" s="85"/>
      <c r="AW34" s="117"/>
      <c r="AX34" s="119"/>
      <c r="AY34" s="86"/>
      <c r="AZ34" s="86"/>
      <c r="BA34" s="87"/>
      <c r="BE34">
        <v>13.18</v>
      </c>
      <c r="BF34">
        <v>12.96</v>
      </c>
      <c r="BG34">
        <v>12.66</v>
      </c>
      <c r="BK34" s="84"/>
      <c r="BL34" s="85"/>
      <c r="BM34" s="117"/>
      <c r="BN34" s="118"/>
      <c r="BO34" s="117"/>
      <c r="BP34" s="85"/>
      <c r="BQ34" s="85"/>
      <c r="BR34" s="117"/>
      <c r="BS34" s="119"/>
      <c r="BT34" s="86"/>
      <c r="BU34" s="86"/>
      <c r="BV34" s="87"/>
      <c r="BZ34">
        <v>13.08</v>
      </c>
      <c r="CA34">
        <v>13.87</v>
      </c>
      <c r="CB34">
        <v>12.98</v>
      </c>
      <c r="CE34">
        <v>15.23</v>
      </c>
    </row>
    <row r="35" spans="1:84" x14ac:dyDescent="0.25">
      <c r="A35" s="102"/>
      <c r="B35" s="89" t="s">
        <v>3</v>
      </c>
      <c r="C35" s="7">
        <v>65.819999999999993</v>
      </c>
      <c r="D35" s="77">
        <f>(12.84+12.87+12.72+13)/4</f>
        <v>12.86</v>
      </c>
      <c r="E35" s="7">
        <f>(13.48+13.97)/2</f>
        <v>13.73</v>
      </c>
      <c r="F35" s="89">
        <f t="shared" si="28"/>
        <v>1.22</v>
      </c>
      <c r="G35" s="1">
        <f t="shared" si="29"/>
        <v>12.51</v>
      </c>
      <c r="H35" s="7">
        <f t="shared" si="30"/>
        <v>0.35</v>
      </c>
      <c r="I35" s="92">
        <f>H35*C35</f>
        <v>23.04</v>
      </c>
      <c r="J35" s="80"/>
      <c r="K35" s="80"/>
      <c r="L35" s="103"/>
      <c r="T35" s="11"/>
      <c r="U35" s="89" t="s">
        <v>4</v>
      </c>
      <c r="V35" s="7">
        <v>97.18</v>
      </c>
      <c r="W35" s="77">
        <f>(12.92+12.9)/2</f>
        <v>12.91</v>
      </c>
      <c r="X35" s="7">
        <f>(13.81+13.86+13.8+13.81+13.87)/5</f>
        <v>13.83</v>
      </c>
      <c r="Y35" s="89">
        <f>0.08+0.05+0.15</f>
        <v>0.28000000000000003</v>
      </c>
      <c r="Z35" s="7">
        <f t="shared" si="31"/>
        <v>13.55</v>
      </c>
      <c r="AA35" s="1">
        <f t="shared" si="32"/>
        <v>-0.64000000000000101</v>
      </c>
      <c r="AB35" s="83"/>
      <c r="AC35" s="93">
        <f>AA35*V35</f>
        <v>-62.195200000000099</v>
      </c>
      <c r="AD35" s="80"/>
      <c r="AE35" s="4"/>
      <c r="AP35" s="84"/>
      <c r="AQ35" s="85"/>
      <c r="AR35" s="117"/>
      <c r="AS35" s="118"/>
      <c r="AT35" s="117"/>
      <c r="AU35" s="85"/>
      <c r="AV35" s="85"/>
      <c r="AW35" s="117"/>
      <c r="AX35" s="119"/>
      <c r="AY35" s="86"/>
      <c r="AZ35" s="86"/>
      <c r="BA35" s="87"/>
      <c r="BE35">
        <v>12.83</v>
      </c>
      <c r="BF35">
        <v>12.95</v>
      </c>
      <c r="BG35">
        <v>13.22</v>
      </c>
      <c r="BK35" s="84"/>
      <c r="BL35" s="85"/>
      <c r="BM35" s="117"/>
      <c r="BN35" s="118"/>
      <c r="BO35" s="117"/>
      <c r="BP35" s="85"/>
      <c r="BQ35" s="85"/>
      <c r="BR35" s="117"/>
      <c r="BS35" s="119"/>
      <c r="BT35" s="86"/>
      <c r="BU35" s="86"/>
      <c r="BV35" s="87"/>
      <c r="BZ35">
        <v>13.11</v>
      </c>
      <c r="CA35">
        <v>13.35</v>
      </c>
      <c r="CB35">
        <v>12.79</v>
      </c>
      <c r="CE35">
        <v>15.5</v>
      </c>
    </row>
    <row r="36" spans="1:84" ht="15.75" thickBot="1" x14ac:dyDescent="0.3">
      <c r="A36" s="107"/>
      <c r="B36" s="108" t="s">
        <v>3</v>
      </c>
      <c r="C36" s="109">
        <v>139.83000000000001</v>
      </c>
      <c r="D36" s="110">
        <f>(12.95+12.62+12.64+13.03)/4</f>
        <v>12.81</v>
      </c>
      <c r="E36" s="109">
        <f>(13.96+13.9)/2</f>
        <v>13.93</v>
      </c>
      <c r="F36" s="108">
        <f t="shared" si="28"/>
        <v>1.22</v>
      </c>
      <c r="G36" s="108">
        <f t="shared" si="29"/>
        <v>12.71</v>
      </c>
      <c r="H36" s="109">
        <f t="shared" si="30"/>
        <v>0.1</v>
      </c>
      <c r="I36" s="111">
        <f>H36*C36</f>
        <v>13.98</v>
      </c>
      <c r="J36" s="112"/>
      <c r="K36" s="112"/>
      <c r="L36" s="113"/>
      <c r="M36" s="116">
        <f>SUM(I26:I36)</f>
        <v>51.15</v>
      </c>
      <c r="N36" s="116">
        <f>SUM(J26:J36)</f>
        <v>-325.64999999999998</v>
      </c>
      <c r="T36" s="114"/>
      <c r="U36" s="108"/>
      <c r="V36" s="109"/>
      <c r="W36" s="110"/>
      <c r="X36" s="109"/>
      <c r="Y36" s="108"/>
      <c r="Z36" s="108">
        <f t="shared" si="31"/>
        <v>0</v>
      </c>
      <c r="AA36" s="108">
        <f t="shared" si="32"/>
        <v>0</v>
      </c>
      <c r="AB36" s="111"/>
      <c r="AC36" s="112"/>
      <c r="AD36" s="112"/>
      <c r="AE36" s="115"/>
      <c r="AF36" s="116">
        <f>SUM(AB31:AB36)</f>
        <v>0</v>
      </c>
      <c r="AG36" s="116">
        <f>SUM(AC31:AC36)</f>
        <v>-144.78</v>
      </c>
      <c r="AP36" s="84"/>
      <c r="AQ36" s="85"/>
      <c r="AR36" s="117"/>
      <c r="AS36" s="118"/>
      <c r="AT36" s="117"/>
      <c r="AU36" s="85"/>
      <c r="AV36" s="85"/>
      <c r="AW36" s="117"/>
      <c r="AX36" s="119"/>
      <c r="AY36" s="86"/>
      <c r="AZ36" s="86"/>
      <c r="BA36" s="87"/>
      <c r="BE36">
        <v>13.08</v>
      </c>
      <c r="BF36">
        <v>12.61</v>
      </c>
      <c r="BG36">
        <v>13.16</v>
      </c>
      <c r="BK36" s="84"/>
      <c r="BL36" s="85"/>
      <c r="BM36" s="117"/>
      <c r="BN36" s="118"/>
      <c r="BO36" s="117"/>
      <c r="BP36" s="85"/>
      <c r="BQ36" s="85"/>
      <c r="BR36" s="117"/>
      <c r="BS36" s="119"/>
      <c r="BT36" s="86"/>
      <c r="BU36" s="86"/>
      <c r="BV36" s="87"/>
      <c r="BZ36">
        <v>13.47</v>
      </c>
      <c r="CA36">
        <v>13.51</v>
      </c>
      <c r="CB36">
        <v>13.06</v>
      </c>
      <c r="CE36">
        <v>16.04</v>
      </c>
    </row>
    <row r="37" spans="1:84" ht="30.75" thickTop="1" x14ac:dyDescent="0.25">
      <c r="A37" s="88" t="s">
        <v>5</v>
      </c>
      <c r="B37" s="89" t="s">
        <v>4</v>
      </c>
      <c r="C37" s="90">
        <v>156.79</v>
      </c>
      <c r="D37" s="91">
        <f>(13.43+13.32)/2</f>
        <v>13.38</v>
      </c>
      <c r="E37" s="90">
        <f>(14.89+14.88+14.85)/3</f>
        <v>14.87</v>
      </c>
      <c r="F37" s="89">
        <f>0.15+0.05+0.08+(0.5+0.46+0.31+0.11)</f>
        <v>1.66</v>
      </c>
      <c r="G37" s="7">
        <f>E37-F37</f>
        <v>13.21</v>
      </c>
      <c r="H37" s="90">
        <f>D37-G37</f>
        <v>0.17</v>
      </c>
      <c r="I37" s="92">
        <f>H37*C37</f>
        <v>26.65</v>
      </c>
      <c r="J37" s="93"/>
      <c r="K37" s="93"/>
      <c r="L37" s="94"/>
      <c r="M37" s="73"/>
      <c r="O37" s="73"/>
      <c r="T37" s="88"/>
      <c r="U37" s="89"/>
      <c r="V37" s="90"/>
      <c r="W37" s="91"/>
      <c r="X37" s="90"/>
      <c r="Y37" s="89"/>
      <c r="Z37" s="89"/>
      <c r="AA37" s="89"/>
      <c r="AB37" s="92"/>
      <c r="AC37" s="93"/>
      <c r="AD37" s="93"/>
      <c r="AE37" s="94"/>
      <c r="AH37" s="73"/>
      <c r="AP37" s="84"/>
      <c r="AQ37" s="85"/>
      <c r="AR37" s="117"/>
      <c r="AS37" s="118"/>
      <c r="AT37" s="117"/>
      <c r="AU37" s="85"/>
      <c r="AV37" s="85"/>
      <c r="AW37" s="117"/>
      <c r="AX37" s="119"/>
      <c r="AY37" s="86"/>
      <c r="AZ37" s="86"/>
      <c r="BA37" s="87"/>
      <c r="BD37" s="122"/>
      <c r="BE37">
        <v>13.34</v>
      </c>
      <c r="BF37">
        <v>12.95</v>
      </c>
      <c r="BG37">
        <v>13.11</v>
      </c>
      <c r="BK37" s="84"/>
      <c r="BL37" s="85"/>
      <c r="BM37" s="117"/>
      <c r="BN37" s="118"/>
      <c r="BO37" s="117"/>
      <c r="BP37" s="85"/>
      <c r="BQ37" s="85"/>
      <c r="BR37" s="117"/>
      <c r="BS37" s="119"/>
      <c r="BT37" s="86"/>
      <c r="BU37" s="86"/>
      <c r="BV37" s="87"/>
      <c r="BY37" s="122"/>
      <c r="BZ37">
        <v>13.3</v>
      </c>
      <c r="CA37">
        <v>12.34</v>
      </c>
    </row>
    <row r="38" spans="1:84" ht="15.75" thickBot="1" x14ac:dyDescent="0.3">
      <c r="A38" s="11">
        <f>1754.277</f>
        <v>1754.277</v>
      </c>
      <c r="B38" s="89" t="s">
        <v>4</v>
      </c>
      <c r="C38" s="7">
        <v>178.13</v>
      </c>
      <c r="D38" s="77">
        <f>(13.01+13.09)/2</f>
        <v>13.05</v>
      </c>
      <c r="E38" s="7">
        <f>(14.81+14.78+14.65)/3</f>
        <v>14.75</v>
      </c>
      <c r="F38" s="1">
        <f t="shared" ref="F38:F45" si="33">0.15+0.05+0.08+(0.5+0.46+0.31+0.11)</f>
        <v>1.66</v>
      </c>
      <c r="G38" s="7">
        <f>E38-F38</f>
        <v>13.09</v>
      </c>
      <c r="H38" s="7">
        <f t="shared" ref="H38:H45" si="34">D38-G38</f>
        <v>-0.04</v>
      </c>
      <c r="I38" s="83"/>
      <c r="J38" s="80">
        <f>H38*C38</f>
        <v>-7.1252000000000004</v>
      </c>
      <c r="K38" s="80"/>
      <c r="L38" s="4"/>
      <c r="T38" s="11" t="s">
        <v>68</v>
      </c>
      <c r="U38" s="1"/>
      <c r="V38" s="13"/>
      <c r="W38" s="77"/>
      <c r="X38" s="7"/>
      <c r="Y38" s="1"/>
      <c r="Z38" s="1"/>
      <c r="AA38" s="1"/>
      <c r="AB38" s="83"/>
      <c r="AC38" s="80"/>
      <c r="AD38" s="80"/>
      <c r="AE38" s="4"/>
      <c r="AF38" s="76"/>
      <c r="AH38" s="122">
        <f>AVERAGE(AH39:AN42)</f>
        <v>13.06</v>
      </c>
      <c r="AP38" s="12"/>
      <c r="AQ38" s="5"/>
      <c r="AR38" s="8"/>
      <c r="AS38" s="78"/>
      <c r="AT38" s="5"/>
      <c r="AU38" s="5"/>
      <c r="AV38" s="5"/>
      <c r="AW38" s="8"/>
      <c r="AX38" s="81"/>
      <c r="AY38" s="81"/>
      <c r="AZ38" s="81"/>
      <c r="BA38" s="6"/>
      <c r="BE38">
        <v>12.99</v>
      </c>
      <c r="BG38">
        <v>12.89</v>
      </c>
      <c r="BK38" s="12"/>
      <c r="BL38" s="5"/>
      <c r="BM38" s="8"/>
      <c r="BN38" s="78"/>
      <c r="BO38" s="5"/>
      <c r="BP38" s="5"/>
      <c r="BQ38" s="5"/>
      <c r="BR38" s="8"/>
      <c r="BS38" s="81"/>
      <c r="BT38" s="81"/>
      <c r="BU38" s="81"/>
      <c r="BV38" s="6"/>
    </row>
    <row r="39" spans="1:84" x14ac:dyDescent="0.25">
      <c r="A39" s="11"/>
      <c r="B39" s="89" t="s">
        <v>4</v>
      </c>
      <c r="C39" s="7">
        <v>328.49</v>
      </c>
      <c r="D39" s="77">
        <f>(13.09+13.07+13.06+13.26)/4</f>
        <v>13.12</v>
      </c>
      <c r="E39" s="7">
        <f>(14.54+14.52+14.5+14.47+14.39+14.4)/6</f>
        <v>14.47</v>
      </c>
      <c r="F39" s="1">
        <f t="shared" si="33"/>
        <v>1.66</v>
      </c>
      <c r="G39" s="7">
        <f t="shared" ref="G39:G44" si="35">E39-F39</f>
        <v>12.81</v>
      </c>
      <c r="H39" s="1">
        <f t="shared" si="34"/>
        <v>0.309999999999999</v>
      </c>
      <c r="I39" s="83">
        <f t="shared" ref="I39:I45" si="36">H39*C39</f>
        <v>101.83</v>
      </c>
      <c r="J39" s="80"/>
      <c r="K39" s="80"/>
      <c r="L39" s="4"/>
      <c r="T39" s="11" t="s">
        <v>6</v>
      </c>
      <c r="U39" s="11"/>
      <c r="V39" s="7">
        <v>605.86</v>
      </c>
      <c r="W39" s="77">
        <f>AH38</f>
        <v>13.06</v>
      </c>
      <c r="X39" s="7">
        <f>AH44</f>
        <v>14.18</v>
      </c>
      <c r="Y39" s="1">
        <v>0.2</v>
      </c>
      <c r="Z39" s="7">
        <f>X39-Y39</f>
        <v>13.98</v>
      </c>
      <c r="AA39" s="7">
        <f>W39-Z39</f>
        <v>-0.92</v>
      </c>
      <c r="AB39" s="83"/>
      <c r="AC39" s="93">
        <f>AA39*V39</f>
        <v>-557.39120000000003</v>
      </c>
      <c r="AD39" s="80"/>
      <c r="AE39" s="4"/>
      <c r="AH39">
        <v>13.64</v>
      </c>
      <c r="AI39">
        <v>13</v>
      </c>
      <c r="AJ39">
        <v>13.13</v>
      </c>
      <c r="AK39">
        <v>12.75</v>
      </c>
      <c r="AL39">
        <v>12.77</v>
      </c>
      <c r="AM39">
        <v>13.23</v>
      </c>
      <c r="AN39">
        <v>12.86</v>
      </c>
    </row>
    <row r="40" spans="1:84" x14ac:dyDescent="0.25">
      <c r="A40" s="11"/>
      <c r="B40" s="89" t="s">
        <v>4</v>
      </c>
      <c r="C40" s="7">
        <v>298.51</v>
      </c>
      <c r="D40" s="77">
        <f>(13.14+13.3+13.1+12.95+13.13)/5</f>
        <v>13.12</v>
      </c>
      <c r="E40" s="7">
        <f>(14.39+14.38+14.38+14.37+14.37+14.36+14.35+14.35)/8</f>
        <v>14.37</v>
      </c>
      <c r="F40" s="1">
        <f t="shared" si="33"/>
        <v>1.66</v>
      </c>
      <c r="G40" s="7">
        <f t="shared" si="35"/>
        <v>12.71</v>
      </c>
      <c r="H40" s="1">
        <f t="shared" si="34"/>
        <v>0.40999999999999798</v>
      </c>
      <c r="I40" s="83">
        <f t="shared" si="36"/>
        <v>122.39</v>
      </c>
      <c r="J40" s="80"/>
      <c r="K40" s="80"/>
      <c r="L40" s="4"/>
      <c r="T40" s="11">
        <v>605.86</v>
      </c>
      <c r="U40" s="11"/>
      <c r="V40" s="7"/>
      <c r="W40" s="77"/>
      <c r="X40" s="7"/>
      <c r="Y40" s="1"/>
      <c r="Z40" s="7">
        <f>X40-Y40</f>
        <v>0</v>
      </c>
      <c r="AA40" s="7">
        <f>W40-Z40</f>
        <v>0</v>
      </c>
      <c r="AB40" s="83"/>
      <c r="AC40" s="80"/>
      <c r="AD40" s="80"/>
      <c r="AE40" s="4"/>
      <c r="AH40">
        <v>13.59</v>
      </c>
      <c r="AI40">
        <v>12.93</v>
      </c>
      <c r="AJ40">
        <v>13.24</v>
      </c>
      <c r="AK40">
        <v>12.98</v>
      </c>
      <c r="AL40">
        <v>12.96</v>
      </c>
      <c r="AM40">
        <v>13.09</v>
      </c>
      <c r="AN40">
        <v>12.81</v>
      </c>
      <c r="AS40" t="s">
        <v>80</v>
      </c>
      <c r="AT40" s="73">
        <f>BB40+BB26+BB19+BB12</f>
        <v>3830.55</v>
      </c>
      <c r="BB40" s="116">
        <f>SUM(AX27:AX31)</f>
        <v>0</v>
      </c>
      <c r="BC40" s="116">
        <f>SUM(AY27:AY31)</f>
        <v>-198.88</v>
      </c>
      <c r="BN40" t="s">
        <v>80</v>
      </c>
      <c r="BO40" s="73">
        <f>BW40+BW26+BW19+BW12</f>
        <v>7053.85</v>
      </c>
      <c r="BW40" s="116">
        <f>SUM(BS27:BS31)</f>
        <v>0</v>
      </c>
      <c r="BX40" s="116">
        <f>SUM(BT27:BT31)</f>
        <v>-7713.07</v>
      </c>
    </row>
    <row r="41" spans="1:84" x14ac:dyDescent="0.25">
      <c r="A41" s="11"/>
      <c r="B41" s="89" t="s">
        <v>4</v>
      </c>
      <c r="C41" s="7">
        <v>173.81</v>
      </c>
      <c r="D41" s="77">
        <f>(13.35+12.89)/2</f>
        <v>13.12</v>
      </c>
      <c r="E41" s="7">
        <f>(14.35+14.35+14.34+14.34+14.3+14.33)/6</f>
        <v>14.34</v>
      </c>
      <c r="F41" s="1">
        <f t="shared" si="33"/>
        <v>1.66</v>
      </c>
      <c r="G41" s="7">
        <f t="shared" si="35"/>
        <v>12.68</v>
      </c>
      <c r="H41" s="1">
        <f t="shared" si="34"/>
        <v>0.44</v>
      </c>
      <c r="I41" s="83">
        <f t="shared" si="36"/>
        <v>76.48</v>
      </c>
      <c r="J41" s="80"/>
      <c r="K41" s="80"/>
      <c r="L41" s="4"/>
      <c r="T41" s="11"/>
      <c r="U41" s="11"/>
      <c r="V41" s="7"/>
      <c r="W41" s="77"/>
      <c r="X41" s="7"/>
      <c r="Y41" s="1"/>
      <c r="Z41" s="7">
        <f>X41-Y41</f>
        <v>0</v>
      </c>
      <c r="AA41" s="7">
        <f>W41-Z41</f>
        <v>0</v>
      </c>
      <c r="AB41" s="83"/>
      <c r="AC41" s="80"/>
      <c r="AD41" s="80"/>
      <c r="AE41" s="4"/>
      <c r="AH41">
        <v>13.32</v>
      </c>
      <c r="AI41">
        <v>13.29</v>
      </c>
      <c r="AJ41">
        <v>13.12</v>
      </c>
      <c r="AK41">
        <v>12.9</v>
      </c>
      <c r="AL41">
        <v>12.55</v>
      </c>
      <c r="AM41">
        <v>13.19</v>
      </c>
      <c r="AS41" t="s">
        <v>79</v>
      </c>
      <c r="AT41" s="73">
        <f>BC40+BC26+BC19+BC12</f>
        <v>-198.88</v>
      </c>
      <c r="BE41" s="146">
        <f>AVERAGE(BE42:BF53)</f>
        <v>13.793333333333299</v>
      </c>
      <c r="BN41" t="s">
        <v>79</v>
      </c>
      <c r="BO41" s="73">
        <f>BX40+BX26+BX19+BX12</f>
        <v>-8170.92</v>
      </c>
      <c r="BZ41" s="146"/>
    </row>
    <row r="42" spans="1:84" x14ac:dyDescent="0.25">
      <c r="A42" s="11"/>
      <c r="B42" s="89" t="s">
        <v>4</v>
      </c>
      <c r="C42" s="7">
        <v>201.02</v>
      </c>
      <c r="D42" s="77">
        <f>(12.89+12.74)/2</f>
        <v>12.82</v>
      </c>
      <c r="E42" s="7">
        <f>(14.33+14.33+14.32+14.32+14.31+14.31)/6</f>
        <v>14.32</v>
      </c>
      <c r="F42" s="1">
        <f t="shared" si="33"/>
        <v>1.66</v>
      </c>
      <c r="G42" s="7">
        <f t="shared" si="35"/>
        <v>12.66</v>
      </c>
      <c r="H42" s="1">
        <f t="shared" si="34"/>
        <v>0.16</v>
      </c>
      <c r="I42" s="83">
        <f t="shared" si="36"/>
        <v>32.159999999999997</v>
      </c>
      <c r="J42" s="80"/>
      <c r="K42" s="80"/>
      <c r="L42" s="4"/>
      <c r="T42" s="11" t="s">
        <v>66</v>
      </c>
      <c r="U42" s="1"/>
      <c r="V42" s="7"/>
      <c r="W42" s="77"/>
      <c r="X42" s="7"/>
      <c r="Y42" s="1"/>
      <c r="Z42" s="1"/>
      <c r="AA42" s="7"/>
      <c r="AB42" s="83"/>
      <c r="AC42" s="80"/>
      <c r="AD42" s="80"/>
      <c r="AE42" s="4"/>
      <c r="AH42">
        <v>13.19</v>
      </c>
      <c r="AI42">
        <v>12.93</v>
      </c>
      <c r="AJ42">
        <v>12.84</v>
      </c>
      <c r="AK42">
        <v>12.95</v>
      </c>
      <c r="AL42">
        <v>12.96</v>
      </c>
      <c r="AM42">
        <v>13.22</v>
      </c>
      <c r="BE42">
        <v>14.18</v>
      </c>
      <c r="BF42">
        <v>13.55</v>
      </c>
    </row>
    <row r="43" spans="1:84" x14ac:dyDescent="0.25">
      <c r="A43" s="11"/>
      <c r="B43" s="89" t="s">
        <v>4</v>
      </c>
      <c r="C43" s="7">
        <v>132.24</v>
      </c>
      <c r="D43" s="77">
        <f>(12.74+12.94)/2</f>
        <v>12.84</v>
      </c>
      <c r="E43" s="7">
        <f>(14.3+14.3+14.3+14.3)/4</f>
        <v>14.3</v>
      </c>
      <c r="F43" s="1">
        <f t="shared" si="33"/>
        <v>1.66</v>
      </c>
      <c r="G43" s="7">
        <f t="shared" si="35"/>
        <v>12.64</v>
      </c>
      <c r="H43" s="1">
        <f t="shared" si="34"/>
        <v>0.19999999999999901</v>
      </c>
      <c r="I43" s="83">
        <f t="shared" si="36"/>
        <v>26.45</v>
      </c>
      <c r="J43" s="80"/>
      <c r="K43" s="80"/>
      <c r="L43" s="4"/>
      <c r="T43" s="84"/>
      <c r="U43" s="85"/>
      <c r="V43" s="117"/>
      <c r="W43" s="118"/>
      <c r="X43" s="117"/>
      <c r="Y43" s="85"/>
      <c r="Z43" s="85"/>
      <c r="AA43" s="117"/>
      <c r="AB43" s="119"/>
      <c r="AC43" s="86"/>
      <c r="AD43" s="86"/>
      <c r="AE43" s="87"/>
      <c r="BE43">
        <v>14.03</v>
      </c>
      <c r="BF43">
        <v>13.65</v>
      </c>
    </row>
    <row r="44" spans="1:84" x14ac:dyDescent="0.25">
      <c r="A44" s="11"/>
      <c r="B44" s="89" t="s">
        <v>4</v>
      </c>
      <c r="C44" s="7">
        <v>130.91999999999999</v>
      </c>
      <c r="D44" s="77">
        <f>(12.88+12.69+12.94)/3</f>
        <v>12.84</v>
      </c>
      <c r="E44" s="7">
        <f>(14.29+14.29+14.28+14.28)/4</f>
        <v>14.29</v>
      </c>
      <c r="F44" s="1">
        <f t="shared" si="33"/>
        <v>1.66</v>
      </c>
      <c r="G44" s="7">
        <f t="shared" si="35"/>
        <v>12.63</v>
      </c>
      <c r="H44" s="1">
        <f t="shared" si="34"/>
        <v>0.20999999999999899</v>
      </c>
      <c r="I44" s="83">
        <f t="shared" si="36"/>
        <v>27.49</v>
      </c>
      <c r="J44" s="80"/>
      <c r="K44" s="80"/>
      <c r="L44" s="4"/>
      <c r="T44" s="84"/>
      <c r="U44" s="85"/>
      <c r="V44" s="117"/>
      <c r="W44" s="118"/>
      <c r="X44" s="117"/>
      <c r="Y44" s="85"/>
      <c r="Z44" s="85"/>
      <c r="AA44" s="117"/>
      <c r="AB44" s="119"/>
      <c r="AC44" s="86"/>
      <c r="AD44" s="86"/>
      <c r="AE44" s="87"/>
      <c r="AH44" s="122">
        <f>AVERAGE(AH45:AI52)</f>
        <v>14.18</v>
      </c>
      <c r="BE44">
        <v>13.79</v>
      </c>
      <c r="BF44">
        <v>13.73</v>
      </c>
    </row>
    <row r="45" spans="1:84" ht="15.75" thickBot="1" x14ac:dyDescent="0.3">
      <c r="A45" s="114"/>
      <c r="B45" s="108" t="s">
        <v>4</v>
      </c>
      <c r="C45" s="109">
        <v>154.38999999999999</v>
      </c>
      <c r="D45" s="110">
        <f>(12.77+12.94+12.74)/3</f>
        <v>12.82</v>
      </c>
      <c r="E45" s="109">
        <f>(14.27+14.27+14.27+14.27)/4</f>
        <v>14.27</v>
      </c>
      <c r="F45" s="108">
        <f t="shared" si="33"/>
        <v>1.66</v>
      </c>
      <c r="G45" s="108">
        <f>E45-F45</f>
        <v>12.61</v>
      </c>
      <c r="H45" s="108">
        <f t="shared" si="34"/>
        <v>0.21000000000000099</v>
      </c>
      <c r="I45" s="111">
        <f t="shared" si="36"/>
        <v>32.42</v>
      </c>
      <c r="J45" s="112"/>
      <c r="K45" s="112"/>
      <c r="L45" s="115"/>
      <c r="M45" s="116">
        <f>SUM(I37:I45)</f>
        <v>445.87</v>
      </c>
      <c r="N45" s="116">
        <f>SUM(J37:J45)</f>
        <v>-7.13</v>
      </c>
      <c r="T45" s="84"/>
      <c r="U45" s="85"/>
      <c r="V45" s="117"/>
      <c r="W45" s="118"/>
      <c r="X45" s="117"/>
      <c r="Y45" s="85"/>
      <c r="Z45" s="85"/>
      <c r="AA45" s="117"/>
      <c r="AB45" s="119"/>
      <c r="AC45" s="86"/>
      <c r="AD45" s="86"/>
      <c r="AE45" s="87"/>
      <c r="AH45">
        <v>14.33</v>
      </c>
      <c r="AI45">
        <v>14.29</v>
      </c>
      <c r="BE45">
        <v>13.4</v>
      </c>
      <c r="BF45">
        <v>13.85</v>
      </c>
    </row>
    <row r="46" spans="1:84" ht="15.75" thickTop="1" x14ac:dyDescent="0.25">
      <c r="A46" s="88"/>
      <c r="B46" s="89"/>
      <c r="C46" s="90"/>
      <c r="D46" s="91"/>
      <c r="E46" s="90"/>
      <c r="F46" s="89"/>
      <c r="G46" s="89"/>
      <c r="H46" s="89"/>
      <c r="I46" s="92"/>
      <c r="J46" s="93"/>
      <c r="K46" s="93"/>
      <c r="L46" s="94"/>
      <c r="R46">
        <f>AVERAGE(P47:R61)</f>
        <v>14.2248888888889</v>
      </c>
      <c r="T46" s="84"/>
      <c r="U46" s="85"/>
      <c r="V46" s="117"/>
      <c r="W46" s="118"/>
      <c r="X46" s="117"/>
      <c r="Y46" s="85"/>
      <c r="Z46" s="85"/>
      <c r="AA46" s="117"/>
      <c r="AB46" s="119"/>
      <c r="AC46" s="86"/>
      <c r="AD46" s="86"/>
      <c r="AE46" s="87"/>
      <c r="AH46">
        <v>14.32</v>
      </c>
      <c r="AI46">
        <v>14.02</v>
      </c>
      <c r="BE46">
        <v>15.75</v>
      </c>
      <c r="BF46">
        <v>13.83</v>
      </c>
    </row>
    <row r="47" spans="1:84" x14ac:dyDescent="0.25">
      <c r="A47" s="11" t="s">
        <v>68</v>
      </c>
      <c r="B47" s="1"/>
      <c r="C47" s="13"/>
      <c r="D47" s="77"/>
      <c r="E47" s="7"/>
      <c r="F47" s="1"/>
      <c r="G47" s="1"/>
      <c r="H47" s="1"/>
      <c r="I47" s="83"/>
      <c r="J47" s="80"/>
      <c r="K47" s="80"/>
      <c r="L47" s="4"/>
      <c r="P47">
        <v>14.52</v>
      </c>
      <c r="Q47">
        <v>14.12</v>
      </c>
      <c r="R47">
        <v>14.05</v>
      </c>
      <c r="T47" s="84"/>
      <c r="U47" s="85"/>
      <c r="V47" s="117"/>
      <c r="W47" s="118"/>
      <c r="X47" s="117"/>
      <c r="Y47" s="85"/>
      <c r="Z47" s="85"/>
      <c r="AA47" s="117"/>
      <c r="AB47" s="119"/>
      <c r="AC47" s="86"/>
      <c r="AD47" s="86"/>
      <c r="AE47" s="87"/>
      <c r="AH47">
        <v>14.3</v>
      </c>
      <c r="AI47">
        <v>14.73</v>
      </c>
      <c r="BB47" s="144" t="s">
        <v>96</v>
      </c>
      <c r="BC47" s="144" t="s">
        <v>79</v>
      </c>
      <c r="BE47">
        <v>13.53</v>
      </c>
      <c r="BF47">
        <v>13.8</v>
      </c>
      <c r="BW47" s="144" t="s">
        <v>96</v>
      </c>
      <c r="BX47" s="144" t="s">
        <v>79</v>
      </c>
    </row>
    <row r="48" spans="1:84" ht="15.75" thickBot="1" x14ac:dyDescent="0.3">
      <c r="A48" s="11" t="s">
        <v>6</v>
      </c>
      <c r="B48" s="11" t="s">
        <v>6</v>
      </c>
      <c r="C48" s="7">
        <v>159.22</v>
      </c>
      <c r="D48" s="77">
        <f>(12.96+12.46+13.4+13.31+13.38+12.96)/6</f>
        <v>13.08</v>
      </c>
      <c r="E48" s="7">
        <f>$R$46</f>
        <v>14.22</v>
      </c>
      <c r="F48" s="1">
        <f>0.2</f>
        <v>0.2</v>
      </c>
      <c r="G48" s="7">
        <f>E48-F48</f>
        <v>14.02</v>
      </c>
      <c r="H48" s="7">
        <f>D48-G48</f>
        <v>-0.94</v>
      </c>
      <c r="I48" s="83"/>
      <c r="J48" s="80">
        <f>H48*C48</f>
        <v>-149.66679999999999</v>
      </c>
      <c r="K48" s="80"/>
      <c r="L48" s="4"/>
      <c r="P48">
        <v>14.56</v>
      </c>
      <c r="Q48">
        <v>14.11</v>
      </c>
      <c r="R48">
        <v>13.88</v>
      </c>
      <c r="T48" s="12"/>
      <c r="U48" s="5"/>
      <c r="V48" s="8"/>
      <c r="W48" s="78"/>
      <c r="X48" s="5"/>
      <c r="Y48" s="5"/>
      <c r="Z48" s="5"/>
      <c r="AA48" s="8"/>
      <c r="AB48" s="81"/>
      <c r="AC48" s="81"/>
      <c r="AD48" s="81"/>
      <c r="AE48" s="6"/>
      <c r="AH48">
        <v>14.3</v>
      </c>
      <c r="AI48">
        <v>13.88</v>
      </c>
      <c r="BB48">
        <f>SUM(BB3:BB47)</f>
        <v>3830.55</v>
      </c>
      <c r="BC48">
        <f>SUM(BC3:BC47)</f>
        <v>-198.88</v>
      </c>
      <c r="BE48">
        <v>13.53</v>
      </c>
      <c r="BF48">
        <v>13.8</v>
      </c>
      <c r="BW48">
        <f>SUM(BW3:BW47)</f>
        <v>7053.85</v>
      </c>
      <c r="BX48">
        <f>SUM(BX3:BX47)</f>
        <v>-8170.92</v>
      </c>
    </row>
    <row r="49" spans="1:77" x14ac:dyDescent="0.25">
      <c r="A49" s="11">
        <f>13383.2086</f>
        <v>13383.2086</v>
      </c>
      <c r="B49" s="11" t="s">
        <v>6</v>
      </c>
      <c r="C49" s="7">
        <v>105.51</v>
      </c>
      <c r="D49" s="77">
        <v>12.15</v>
      </c>
      <c r="E49" s="7">
        <f t="shared" ref="E49:E78" si="37">$R$46</f>
        <v>14.22</v>
      </c>
      <c r="F49" s="1">
        <f t="shared" ref="F49:F78" si="38">0.2</f>
        <v>0.2</v>
      </c>
      <c r="G49" s="7">
        <f t="shared" ref="G49:G78" si="39">E49-F49</f>
        <v>14.02</v>
      </c>
      <c r="H49" s="7">
        <f t="shared" ref="H49:H78" si="40">D49-G49</f>
        <v>-1.87</v>
      </c>
      <c r="I49" s="83"/>
      <c r="J49" s="80">
        <f t="shared" ref="J49:J78" si="41">H49*C49</f>
        <v>-197.30369999999999</v>
      </c>
      <c r="K49" s="80"/>
      <c r="L49" s="4"/>
      <c r="P49">
        <v>14.55</v>
      </c>
      <c r="Q49">
        <v>14.1</v>
      </c>
      <c r="R49">
        <v>14.04</v>
      </c>
      <c r="AH49">
        <v>14.3</v>
      </c>
      <c r="AI49">
        <v>13.87</v>
      </c>
      <c r="BC49">
        <f>BC48</f>
        <v>-198.88</v>
      </c>
      <c r="BD49" t="s">
        <v>103</v>
      </c>
      <c r="BE49">
        <v>13.53</v>
      </c>
      <c r="BF49">
        <v>13.8</v>
      </c>
      <c r="BX49" s="73">
        <f>BX40</f>
        <v>-7713.07</v>
      </c>
      <c r="BY49" t="s">
        <v>103</v>
      </c>
    </row>
    <row r="50" spans="1:77" x14ac:dyDescent="0.25">
      <c r="A50" s="11"/>
      <c r="B50" s="11" t="s">
        <v>6</v>
      </c>
      <c r="C50" s="7">
        <v>155.65</v>
      </c>
      <c r="D50" s="77">
        <v>13.31</v>
      </c>
      <c r="E50" s="7">
        <f t="shared" si="37"/>
        <v>14.22</v>
      </c>
      <c r="F50" s="1">
        <f t="shared" si="38"/>
        <v>0.2</v>
      </c>
      <c r="G50" s="7">
        <f t="shared" si="39"/>
        <v>14.02</v>
      </c>
      <c r="H50" s="7">
        <f t="shared" si="40"/>
        <v>-0.71</v>
      </c>
      <c r="I50" s="83"/>
      <c r="J50" s="80">
        <f t="shared" si="41"/>
        <v>-110.5115</v>
      </c>
      <c r="K50" s="80"/>
      <c r="L50" s="4"/>
      <c r="P50">
        <v>14.49</v>
      </c>
      <c r="Q50">
        <v>13.81</v>
      </c>
      <c r="R50">
        <v>13.88</v>
      </c>
      <c r="W50" t="s">
        <v>80</v>
      </c>
      <c r="X50" s="73">
        <f>AF50+AF36+AF26+AF12</f>
        <v>2918.27</v>
      </c>
      <c r="AF50" s="116">
        <f>SUM(AB37:AB41)</f>
        <v>0</v>
      </c>
      <c r="AG50" s="116">
        <f>SUM(AC37:AC41)</f>
        <v>-557.39</v>
      </c>
      <c r="AH50">
        <v>14.3</v>
      </c>
      <c r="AI50">
        <v>13.86</v>
      </c>
      <c r="BE50">
        <v>13.52</v>
      </c>
      <c r="BF50">
        <v>13.86</v>
      </c>
      <c r="BX50" s="73">
        <f>BX26+BX19+BX12</f>
        <v>-457.85</v>
      </c>
      <c r="BY50" t="s">
        <v>109</v>
      </c>
    </row>
    <row r="51" spans="1:77" x14ac:dyDescent="0.25">
      <c r="A51" s="11"/>
      <c r="B51" s="11" t="s">
        <v>6</v>
      </c>
      <c r="C51" s="7">
        <v>848.39</v>
      </c>
      <c r="D51" s="77">
        <f>(13.39+13.44+13.23+13.18+13.08+13.39+13.41+13.36)/8</f>
        <v>13.31</v>
      </c>
      <c r="E51" s="7">
        <f t="shared" si="37"/>
        <v>14.22</v>
      </c>
      <c r="F51" s="1">
        <f t="shared" si="38"/>
        <v>0.2</v>
      </c>
      <c r="G51" s="7">
        <f t="shared" si="39"/>
        <v>14.02</v>
      </c>
      <c r="H51" s="7">
        <f t="shared" si="40"/>
        <v>-0.71</v>
      </c>
      <c r="I51" s="83"/>
      <c r="J51" s="80">
        <f t="shared" si="41"/>
        <v>-602.3569</v>
      </c>
      <c r="K51" s="80"/>
      <c r="L51" s="4"/>
      <c r="P51">
        <v>14.6</v>
      </c>
      <c r="Q51">
        <v>13.79</v>
      </c>
      <c r="R51">
        <v>14.03</v>
      </c>
      <c r="W51" t="s">
        <v>79</v>
      </c>
      <c r="X51" s="73">
        <f>AG50+AG36+AG26+AG12</f>
        <v>-1130.22</v>
      </c>
      <c r="AH51">
        <v>14.29</v>
      </c>
      <c r="AI51">
        <v>13.82</v>
      </c>
      <c r="BE51">
        <v>13.53</v>
      </c>
    </row>
    <row r="52" spans="1:77" x14ac:dyDescent="0.25">
      <c r="A52" s="11"/>
      <c r="B52" s="11" t="s">
        <v>6</v>
      </c>
      <c r="C52" s="7">
        <v>33.33</v>
      </c>
      <c r="D52" s="77">
        <f>(13.4+13.35+13.27+13.2+13.3)/5</f>
        <v>13.3</v>
      </c>
      <c r="E52" s="7">
        <f t="shared" si="37"/>
        <v>14.22</v>
      </c>
      <c r="F52" s="1">
        <f t="shared" si="38"/>
        <v>0.2</v>
      </c>
      <c r="G52" s="7">
        <f t="shared" si="39"/>
        <v>14.02</v>
      </c>
      <c r="H52" s="7">
        <f t="shared" si="40"/>
        <v>-0.72</v>
      </c>
      <c r="I52" s="83"/>
      <c r="J52" s="80">
        <f t="shared" si="41"/>
        <v>-23.997599999999998</v>
      </c>
      <c r="K52" s="80"/>
      <c r="L52" s="4"/>
      <c r="P52">
        <v>14.49</v>
      </c>
      <c r="Q52">
        <v>13.81</v>
      </c>
      <c r="R52">
        <v>13.89</v>
      </c>
      <c r="AH52">
        <v>14.29</v>
      </c>
      <c r="AI52">
        <v>13.92</v>
      </c>
      <c r="BE52">
        <v>13.53</v>
      </c>
    </row>
    <row r="53" spans="1:77" x14ac:dyDescent="0.25">
      <c r="A53" s="11"/>
      <c r="B53" s="11" t="s">
        <v>6</v>
      </c>
      <c r="C53" s="7">
        <v>414.46</v>
      </c>
      <c r="D53" s="77">
        <f>(13.29+13.13+12.93+13+13.04+13.16+13.15)/7</f>
        <v>13.1</v>
      </c>
      <c r="E53" s="7">
        <f t="shared" si="37"/>
        <v>14.22</v>
      </c>
      <c r="F53" s="1">
        <f t="shared" si="38"/>
        <v>0.2</v>
      </c>
      <c r="G53" s="7">
        <f t="shared" si="39"/>
        <v>14.02</v>
      </c>
      <c r="H53" s="7">
        <f t="shared" si="40"/>
        <v>-0.92</v>
      </c>
      <c r="I53" s="83"/>
      <c r="J53" s="80">
        <f t="shared" si="41"/>
        <v>-381.3032</v>
      </c>
      <c r="K53" s="80"/>
      <c r="L53" s="4"/>
      <c r="P53">
        <v>14.45</v>
      </c>
      <c r="Q53">
        <v>14.1</v>
      </c>
      <c r="R53">
        <v>14.55</v>
      </c>
      <c r="BE53">
        <v>13.47</v>
      </c>
    </row>
    <row r="54" spans="1:77" x14ac:dyDescent="0.25">
      <c r="A54" s="11"/>
      <c r="B54" s="11" t="s">
        <v>6</v>
      </c>
      <c r="C54" s="7">
        <v>406.84</v>
      </c>
      <c r="D54" s="77">
        <f>(13.16+13.15+13.16+13.21+12.93+12.98+13+13.13)/8</f>
        <v>13.09</v>
      </c>
      <c r="E54" s="7">
        <f t="shared" si="37"/>
        <v>14.22</v>
      </c>
      <c r="F54" s="1">
        <f t="shared" si="38"/>
        <v>0.2</v>
      </c>
      <c r="G54" s="7">
        <f t="shared" si="39"/>
        <v>14.02</v>
      </c>
      <c r="H54" s="7">
        <f t="shared" si="40"/>
        <v>-0.93</v>
      </c>
      <c r="I54" s="83"/>
      <c r="J54" s="80">
        <f t="shared" si="41"/>
        <v>-378.3612</v>
      </c>
      <c r="K54" s="80"/>
      <c r="L54" s="4"/>
      <c r="P54">
        <v>14.64</v>
      </c>
      <c r="Q54">
        <v>14.1</v>
      </c>
      <c r="R54">
        <v>14.64</v>
      </c>
    </row>
    <row r="55" spans="1:77" x14ac:dyDescent="0.25">
      <c r="A55" s="11"/>
      <c r="B55" s="11" t="s">
        <v>6</v>
      </c>
      <c r="C55" s="7">
        <v>243.06</v>
      </c>
      <c r="D55" s="77">
        <f>(13.24+13.01+13.12)/3</f>
        <v>13.12</v>
      </c>
      <c r="E55" s="7">
        <f t="shared" si="37"/>
        <v>14.22</v>
      </c>
      <c r="F55" s="1">
        <f t="shared" si="38"/>
        <v>0.2</v>
      </c>
      <c r="G55" s="7">
        <f t="shared" si="39"/>
        <v>14.02</v>
      </c>
      <c r="H55" s="7">
        <f t="shared" si="40"/>
        <v>-0.9</v>
      </c>
      <c r="I55" s="83"/>
      <c r="J55" s="80">
        <f t="shared" si="41"/>
        <v>-218.75399999999999</v>
      </c>
      <c r="K55" s="80"/>
      <c r="L55" s="4"/>
      <c r="P55">
        <v>14.81</v>
      </c>
      <c r="Q55">
        <v>13.81</v>
      </c>
      <c r="R55">
        <v>15.12</v>
      </c>
    </row>
    <row r="56" spans="1:77" x14ac:dyDescent="0.25">
      <c r="A56" s="11"/>
      <c r="B56" s="11" t="s">
        <v>6</v>
      </c>
      <c r="C56" s="7">
        <v>148.68</v>
      </c>
      <c r="D56" s="77">
        <f>(13.28+12.98+12.84+12.7)/4</f>
        <v>12.95</v>
      </c>
      <c r="E56" s="7">
        <f t="shared" si="37"/>
        <v>14.22</v>
      </c>
      <c r="F56" s="1">
        <f t="shared" si="38"/>
        <v>0.2</v>
      </c>
      <c r="G56" s="7">
        <f t="shared" si="39"/>
        <v>14.02</v>
      </c>
      <c r="H56" s="7">
        <f t="shared" si="40"/>
        <v>-1.07</v>
      </c>
      <c r="I56" s="83"/>
      <c r="J56" s="80">
        <f t="shared" si="41"/>
        <v>-159.08760000000001</v>
      </c>
      <c r="K56" s="80"/>
      <c r="L56" s="4"/>
      <c r="P56">
        <v>14.27</v>
      </c>
      <c r="Q56">
        <v>14.09</v>
      </c>
      <c r="R56">
        <v>14.65</v>
      </c>
    </row>
    <row r="57" spans="1:77" x14ac:dyDescent="0.25">
      <c r="A57" s="11"/>
      <c r="B57" s="11" t="s">
        <v>6</v>
      </c>
      <c r="C57" s="7">
        <v>58.25</v>
      </c>
      <c r="D57" s="77">
        <f>(12.98+12.9+12.95)/3</f>
        <v>12.94</v>
      </c>
      <c r="E57" s="7">
        <f t="shared" si="37"/>
        <v>14.22</v>
      </c>
      <c r="F57" s="1">
        <f t="shared" si="38"/>
        <v>0.2</v>
      </c>
      <c r="G57" s="7">
        <f t="shared" si="39"/>
        <v>14.02</v>
      </c>
      <c r="H57" s="7">
        <f t="shared" si="40"/>
        <v>-1.08</v>
      </c>
      <c r="I57" s="83"/>
      <c r="J57" s="80">
        <f t="shared" si="41"/>
        <v>-62.91</v>
      </c>
      <c r="K57" s="80"/>
      <c r="L57" s="4"/>
      <c r="P57">
        <v>14.4</v>
      </c>
      <c r="Q57">
        <v>13.87</v>
      </c>
      <c r="R57">
        <v>14.5</v>
      </c>
      <c r="AF57" s="144" t="s">
        <v>96</v>
      </c>
      <c r="AG57" s="144" t="s">
        <v>79</v>
      </c>
    </row>
    <row r="58" spans="1:77" x14ac:dyDescent="0.25">
      <c r="A58" s="11"/>
      <c r="B58" s="11" t="s">
        <v>6</v>
      </c>
      <c r="C58" s="77">
        <v>567.13</v>
      </c>
      <c r="D58" s="77">
        <f>(12.77+12.81+12.78+12.96+12.86+12.97+12.55+12.57)/8</f>
        <v>12.78</v>
      </c>
      <c r="E58" s="7">
        <f t="shared" si="37"/>
        <v>14.22</v>
      </c>
      <c r="F58" s="1">
        <f t="shared" si="38"/>
        <v>0.2</v>
      </c>
      <c r="G58" s="7">
        <f t="shared" si="39"/>
        <v>14.02</v>
      </c>
      <c r="H58" s="7">
        <f t="shared" si="40"/>
        <v>-1.24</v>
      </c>
      <c r="I58" s="83"/>
      <c r="J58" s="80">
        <f t="shared" si="41"/>
        <v>-703.24120000000005</v>
      </c>
      <c r="K58" s="80"/>
      <c r="L58" s="4"/>
      <c r="P58">
        <v>14.22</v>
      </c>
      <c r="Q58">
        <v>14.08</v>
      </c>
      <c r="R58">
        <v>14.47</v>
      </c>
      <c r="AF58">
        <f>SUM(AF3:AF57)</f>
        <v>2918.27</v>
      </c>
      <c r="AG58">
        <f>SUM(AG3:AG57)</f>
        <v>-1130.22</v>
      </c>
    </row>
    <row r="59" spans="1:77" x14ac:dyDescent="0.25">
      <c r="A59" s="11"/>
      <c r="B59" s="11" t="s">
        <v>6</v>
      </c>
      <c r="C59" s="77">
        <v>79.72</v>
      </c>
      <c r="D59" s="77">
        <v>12.7</v>
      </c>
      <c r="E59" s="7">
        <f t="shared" si="37"/>
        <v>14.22</v>
      </c>
      <c r="F59" s="1">
        <f t="shared" si="38"/>
        <v>0.2</v>
      </c>
      <c r="G59" s="7">
        <f t="shared" si="39"/>
        <v>14.02</v>
      </c>
      <c r="H59" s="7">
        <f t="shared" si="40"/>
        <v>-1.32</v>
      </c>
      <c r="I59" s="83"/>
      <c r="J59" s="80">
        <f t="shared" si="41"/>
        <v>-105.2304</v>
      </c>
      <c r="K59" s="80"/>
      <c r="L59" s="4"/>
      <c r="P59">
        <v>14.15</v>
      </c>
      <c r="Q59">
        <v>14.04</v>
      </c>
      <c r="R59">
        <v>14.25</v>
      </c>
      <c r="AG59" s="73">
        <f>AG50</f>
        <v>-557.39</v>
      </c>
      <c r="AH59" t="s">
        <v>94</v>
      </c>
    </row>
    <row r="60" spans="1:77" x14ac:dyDescent="0.25">
      <c r="A60" s="11"/>
      <c r="B60" s="11" t="s">
        <v>6</v>
      </c>
      <c r="C60" s="77">
        <v>432.38</v>
      </c>
      <c r="D60" s="77">
        <f>(13.1+12.67+13.48+12.17+13.15+13.57+13.5+13.49)/8</f>
        <v>13.14</v>
      </c>
      <c r="E60" s="7">
        <f t="shared" si="37"/>
        <v>14.22</v>
      </c>
      <c r="F60" s="1">
        <f t="shared" si="38"/>
        <v>0.2</v>
      </c>
      <c r="G60" s="7">
        <f t="shared" si="39"/>
        <v>14.02</v>
      </c>
      <c r="H60" s="7">
        <f t="shared" si="40"/>
        <v>-0.88</v>
      </c>
      <c r="I60" s="83"/>
      <c r="J60" s="80">
        <f t="shared" si="41"/>
        <v>-380.49439999999998</v>
      </c>
      <c r="K60" s="80"/>
      <c r="L60" s="4"/>
      <c r="P60">
        <v>13.81</v>
      </c>
      <c r="Q60">
        <v>14.05</v>
      </c>
      <c r="R60">
        <v>14.29</v>
      </c>
      <c r="AG60" s="73">
        <f>AG12+AG26+AG36</f>
        <v>-572.83000000000004</v>
      </c>
      <c r="AH60" t="s">
        <v>98</v>
      </c>
    </row>
    <row r="61" spans="1:77" x14ac:dyDescent="0.25">
      <c r="A61" s="11"/>
      <c r="B61" s="11" t="s">
        <v>6</v>
      </c>
      <c r="C61" s="77">
        <v>78.63</v>
      </c>
      <c r="D61" s="77">
        <f>(13.48+13.55+13.39+13.15)/4</f>
        <v>13.39</v>
      </c>
      <c r="E61" s="7">
        <f t="shared" si="37"/>
        <v>14.22</v>
      </c>
      <c r="F61" s="1">
        <f t="shared" si="38"/>
        <v>0.2</v>
      </c>
      <c r="G61" s="7">
        <f t="shared" si="39"/>
        <v>14.02</v>
      </c>
      <c r="H61" s="7">
        <f t="shared" si="40"/>
        <v>-0.63</v>
      </c>
      <c r="I61" s="83"/>
      <c r="J61" s="80">
        <f t="shared" si="41"/>
        <v>-49.536900000000003</v>
      </c>
      <c r="K61" s="80"/>
      <c r="L61" s="4"/>
      <c r="P61">
        <v>14.13</v>
      </c>
      <c r="Q61">
        <v>13.88</v>
      </c>
      <c r="R61">
        <v>14.03</v>
      </c>
    </row>
    <row r="62" spans="1:77" x14ac:dyDescent="0.25">
      <c r="A62" s="11"/>
      <c r="B62" s="11" t="s">
        <v>6</v>
      </c>
      <c r="C62" s="77">
        <v>47.08</v>
      </c>
      <c r="D62" s="77">
        <f>(14.43+13.26+13.6+13.76+13.76)/5</f>
        <v>13.76</v>
      </c>
      <c r="E62" s="7">
        <f t="shared" si="37"/>
        <v>14.22</v>
      </c>
      <c r="F62" s="1">
        <f t="shared" si="38"/>
        <v>0.2</v>
      </c>
      <c r="G62" s="7">
        <f t="shared" si="39"/>
        <v>14.02</v>
      </c>
      <c r="H62" s="7">
        <f t="shared" si="40"/>
        <v>-0.26</v>
      </c>
      <c r="I62" s="83"/>
      <c r="J62" s="80">
        <f t="shared" si="41"/>
        <v>-12.2408</v>
      </c>
      <c r="K62" s="80"/>
      <c r="L62" s="4"/>
    </row>
    <row r="63" spans="1:77" x14ac:dyDescent="0.25">
      <c r="A63" s="11"/>
      <c r="B63" s="11" t="s">
        <v>6</v>
      </c>
      <c r="C63" s="77">
        <v>98.75</v>
      </c>
      <c r="D63" s="77">
        <f>(13.61+13.33+13.73)/3</f>
        <v>13.56</v>
      </c>
      <c r="E63" s="7">
        <f t="shared" si="37"/>
        <v>14.22</v>
      </c>
      <c r="F63" s="1">
        <f t="shared" si="38"/>
        <v>0.2</v>
      </c>
      <c r="G63" s="7">
        <f t="shared" si="39"/>
        <v>14.02</v>
      </c>
      <c r="H63" s="7">
        <f t="shared" si="40"/>
        <v>-0.46</v>
      </c>
      <c r="I63" s="83"/>
      <c r="J63" s="80">
        <f t="shared" si="41"/>
        <v>-45.424999999999997</v>
      </c>
      <c r="K63" s="80"/>
      <c r="L63" s="4"/>
    </row>
    <row r="64" spans="1:77" x14ac:dyDescent="0.25">
      <c r="A64" s="11"/>
      <c r="B64" s="11" t="s">
        <v>6</v>
      </c>
      <c r="C64" s="77">
        <v>5.69</v>
      </c>
      <c r="D64" s="77">
        <f>(13.65+13.52+13.7+13.72)/4</f>
        <v>13.65</v>
      </c>
      <c r="E64" s="7">
        <f t="shared" si="37"/>
        <v>14.22</v>
      </c>
      <c r="F64" s="1">
        <f t="shared" si="38"/>
        <v>0.2</v>
      </c>
      <c r="G64" s="7">
        <f t="shared" si="39"/>
        <v>14.02</v>
      </c>
      <c r="H64" s="7">
        <f t="shared" si="40"/>
        <v>-0.37</v>
      </c>
      <c r="I64" s="83"/>
      <c r="J64" s="80">
        <f t="shared" si="41"/>
        <v>-2.1053000000000002</v>
      </c>
      <c r="K64" s="80"/>
      <c r="L64" s="4"/>
    </row>
    <row r="65" spans="1:14" x14ac:dyDescent="0.25">
      <c r="A65" s="11"/>
      <c r="B65" s="11" t="s">
        <v>6</v>
      </c>
      <c r="C65" s="77">
        <v>152.99</v>
      </c>
      <c r="D65" s="77">
        <f>(13.37+12.26+13.51+12.34)/4</f>
        <v>12.87</v>
      </c>
      <c r="E65" s="7">
        <f t="shared" si="37"/>
        <v>14.22</v>
      </c>
      <c r="F65" s="1">
        <f t="shared" si="38"/>
        <v>0.2</v>
      </c>
      <c r="G65" s="7">
        <f t="shared" si="39"/>
        <v>14.02</v>
      </c>
      <c r="H65" s="7">
        <f t="shared" si="40"/>
        <v>-1.1499999999999999</v>
      </c>
      <c r="I65" s="83"/>
      <c r="J65" s="80">
        <f t="shared" si="41"/>
        <v>-175.9385</v>
      </c>
      <c r="K65" s="80"/>
      <c r="L65" s="4"/>
    </row>
    <row r="66" spans="1:14" x14ac:dyDescent="0.25">
      <c r="A66" s="11"/>
      <c r="B66" s="11" t="s">
        <v>6</v>
      </c>
      <c r="C66" s="77">
        <v>18.2</v>
      </c>
      <c r="D66" s="77">
        <f>(13.71+13.8+13.67+13.68)/4</f>
        <v>13.72</v>
      </c>
      <c r="E66" s="7">
        <f t="shared" si="37"/>
        <v>14.22</v>
      </c>
      <c r="F66" s="1">
        <f t="shared" si="38"/>
        <v>0.2</v>
      </c>
      <c r="G66" s="7">
        <f t="shared" si="39"/>
        <v>14.02</v>
      </c>
      <c r="H66" s="7">
        <f t="shared" si="40"/>
        <v>-0.3</v>
      </c>
      <c r="I66" s="83"/>
      <c r="J66" s="80">
        <f t="shared" si="41"/>
        <v>-5.46</v>
      </c>
      <c r="K66" s="80"/>
      <c r="L66" s="4"/>
    </row>
    <row r="67" spans="1:14" x14ac:dyDescent="0.25">
      <c r="A67" s="11"/>
      <c r="B67" s="11" t="s">
        <v>6</v>
      </c>
      <c r="C67" s="77">
        <v>18.68</v>
      </c>
      <c r="D67" s="77">
        <f>(13.11+13.06)/2</f>
        <v>13.09</v>
      </c>
      <c r="E67" s="7">
        <f t="shared" si="37"/>
        <v>14.22</v>
      </c>
      <c r="F67" s="1">
        <f t="shared" si="38"/>
        <v>0.2</v>
      </c>
      <c r="G67" s="7">
        <f t="shared" si="39"/>
        <v>14.02</v>
      </c>
      <c r="H67" s="7">
        <f t="shared" si="40"/>
        <v>-0.93</v>
      </c>
      <c r="I67" s="83"/>
      <c r="J67" s="80">
        <f t="shared" si="41"/>
        <v>-17.372399999999999</v>
      </c>
      <c r="K67" s="80"/>
      <c r="L67" s="4"/>
    </row>
    <row r="68" spans="1:14" x14ac:dyDescent="0.25">
      <c r="A68" s="11"/>
      <c r="B68" s="11" t="s">
        <v>6</v>
      </c>
      <c r="C68" s="77">
        <v>157.19999999999999</v>
      </c>
      <c r="D68" s="77">
        <f>(13.33+13.28)/2</f>
        <v>13.31</v>
      </c>
      <c r="E68" s="7">
        <f t="shared" si="37"/>
        <v>14.22</v>
      </c>
      <c r="F68" s="1">
        <f t="shared" si="38"/>
        <v>0.2</v>
      </c>
      <c r="G68" s="7">
        <f t="shared" si="39"/>
        <v>14.02</v>
      </c>
      <c r="H68" s="7">
        <f t="shared" si="40"/>
        <v>-0.71</v>
      </c>
      <c r="I68" s="83"/>
      <c r="J68" s="80">
        <f t="shared" si="41"/>
        <v>-111.61199999999999</v>
      </c>
      <c r="K68" s="80"/>
      <c r="L68" s="4"/>
    </row>
    <row r="69" spans="1:14" x14ac:dyDescent="0.25">
      <c r="A69" s="11"/>
      <c r="B69" s="11" t="s">
        <v>6</v>
      </c>
      <c r="C69" s="77">
        <v>552.84</v>
      </c>
      <c r="D69" s="77">
        <f>(13.14+12.95+13.01)/3</f>
        <v>13.03</v>
      </c>
      <c r="E69" s="7">
        <f t="shared" si="37"/>
        <v>14.22</v>
      </c>
      <c r="F69" s="1">
        <f t="shared" si="38"/>
        <v>0.2</v>
      </c>
      <c r="G69" s="7">
        <f t="shared" si="39"/>
        <v>14.02</v>
      </c>
      <c r="H69" s="7">
        <f t="shared" si="40"/>
        <v>-0.99</v>
      </c>
      <c r="I69" s="83"/>
      <c r="J69" s="80">
        <f t="shared" si="41"/>
        <v>-547.3116</v>
      </c>
      <c r="K69" s="80"/>
      <c r="L69" s="4"/>
    </row>
    <row r="70" spans="1:14" x14ac:dyDescent="0.25">
      <c r="A70" s="11"/>
      <c r="B70" s="11" t="s">
        <v>6</v>
      </c>
      <c r="C70" s="77">
        <v>1158.28</v>
      </c>
      <c r="D70" s="77">
        <f>(13.06+13.25+13.36+12.97)/4</f>
        <v>13.16</v>
      </c>
      <c r="E70" s="7">
        <f t="shared" si="37"/>
        <v>14.22</v>
      </c>
      <c r="F70" s="1">
        <f t="shared" si="38"/>
        <v>0.2</v>
      </c>
      <c r="G70" s="7">
        <f t="shared" si="39"/>
        <v>14.02</v>
      </c>
      <c r="H70" s="7">
        <f t="shared" si="40"/>
        <v>-0.86</v>
      </c>
      <c r="I70" s="83"/>
      <c r="J70" s="80">
        <f t="shared" si="41"/>
        <v>-996.12080000000003</v>
      </c>
      <c r="K70" s="80"/>
      <c r="L70" s="4"/>
    </row>
    <row r="71" spans="1:14" x14ac:dyDescent="0.25">
      <c r="A71" s="11"/>
      <c r="B71" s="11" t="s">
        <v>6</v>
      </c>
      <c r="C71" s="77">
        <v>1146.79</v>
      </c>
      <c r="D71" s="77">
        <f>(13.13+13.06+13.34+13.2+13.12)/5</f>
        <v>13.17</v>
      </c>
      <c r="E71" s="7">
        <f t="shared" si="37"/>
        <v>14.22</v>
      </c>
      <c r="F71" s="1">
        <f t="shared" si="38"/>
        <v>0.2</v>
      </c>
      <c r="G71" s="7">
        <f t="shared" si="39"/>
        <v>14.02</v>
      </c>
      <c r="H71" s="7">
        <f t="shared" si="40"/>
        <v>-0.85</v>
      </c>
      <c r="I71" s="83"/>
      <c r="J71" s="80">
        <f t="shared" si="41"/>
        <v>-974.77149999999995</v>
      </c>
      <c r="K71" s="80"/>
      <c r="L71" s="4"/>
    </row>
    <row r="72" spans="1:14" x14ac:dyDescent="0.25">
      <c r="A72" s="11"/>
      <c r="B72" s="11" t="s">
        <v>6</v>
      </c>
      <c r="C72" s="77">
        <v>1053.67</v>
      </c>
      <c r="D72" s="77">
        <f>(13.04+12.94+13.11+13.07)/4</f>
        <v>13.04</v>
      </c>
      <c r="E72" s="7">
        <f t="shared" si="37"/>
        <v>14.22</v>
      </c>
      <c r="F72" s="1">
        <f t="shared" si="38"/>
        <v>0.2</v>
      </c>
      <c r="G72" s="7">
        <f t="shared" si="39"/>
        <v>14.02</v>
      </c>
      <c r="H72" s="7">
        <f t="shared" si="40"/>
        <v>-0.98</v>
      </c>
      <c r="I72" s="83"/>
      <c r="J72" s="80">
        <f t="shared" si="41"/>
        <v>-1032.5966000000001</v>
      </c>
      <c r="K72" s="80"/>
      <c r="L72" s="4"/>
    </row>
    <row r="73" spans="1:14" x14ac:dyDescent="0.25">
      <c r="A73" s="11"/>
      <c r="B73" s="11" t="s">
        <v>6</v>
      </c>
      <c r="C73" s="77">
        <v>905.08</v>
      </c>
      <c r="D73" s="77">
        <f>(13.29+13.17+12.9)/3</f>
        <v>13.12</v>
      </c>
      <c r="E73" s="7">
        <f t="shared" si="37"/>
        <v>14.22</v>
      </c>
      <c r="F73" s="1">
        <f t="shared" si="38"/>
        <v>0.2</v>
      </c>
      <c r="G73" s="7">
        <f t="shared" si="39"/>
        <v>14.02</v>
      </c>
      <c r="H73" s="7">
        <f t="shared" si="40"/>
        <v>-0.9</v>
      </c>
      <c r="I73" s="83"/>
      <c r="J73" s="80">
        <f t="shared" si="41"/>
        <v>-814.572</v>
      </c>
      <c r="K73" s="80"/>
      <c r="L73" s="4"/>
    </row>
    <row r="74" spans="1:14" x14ac:dyDescent="0.25">
      <c r="A74" s="11"/>
      <c r="B74" s="11" t="s">
        <v>6</v>
      </c>
      <c r="C74" s="77">
        <v>1285.95</v>
      </c>
      <c r="D74" s="77">
        <f>(13.17+13.34+13.08+13.3+12.99+12.84)/6</f>
        <v>13.12</v>
      </c>
      <c r="E74" s="7">
        <f t="shared" si="37"/>
        <v>14.22</v>
      </c>
      <c r="F74" s="1">
        <f t="shared" si="38"/>
        <v>0.2</v>
      </c>
      <c r="G74" s="7">
        <f t="shared" si="39"/>
        <v>14.02</v>
      </c>
      <c r="H74" s="7">
        <f t="shared" si="40"/>
        <v>-0.9</v>
      </c>
      <c r="I74" s="83"/>
      <c r="J74" s="80">
        <f t="shared" si="41"/>
        <v>-1157.355</v>
      </c>
      <c r="K74" s="80"/>
      <c r="L74" s="4"/>
    </row>
    <row r="75" spans="1:14" x14ac:dyDescent="0.25">
      <c r="A75" s="11"/>
      <c r="B75" s="11" t="s">
        <v>6</v>
      </c>
      <c r="C75" s="77">
        <v>1308.73</v>
      </c>
      <c r="D75" s="77">
        <f>(12.87+12.81+12.71+12.86+12.72+12.76)/6</f>
        <v>12.79</v>
      </c>
      <c r="E75" s="7">
        <f t="shared" si="37"/>
        <v>14.22</v>
      </c>
      <c r="F75" s="1">
        <f t="shared" si="38"/>
        <v>0.2</v>
      </c>
      <c r="G75" s="7">
        <f t="shared" si="39"/>
        <v>14.02</v>
      </c>
      <c r="H75" s="7">
        <f t="shared" si="40"/>
        <v>-1.23</v>
      </c>
      <c r="I75" s="83"/>
      <c r="J75" s="80">
        <f t="shared" si="41"/>
        <v>-1609.7379000000001</v>
      </c>
      <c r="K75" s="80"/>
      <c r="L75" s="4"/>
    </row>
    <row r="76" spans="1:14" x14ac:dyDescent="0.25">
      <c r="A76" s="11"/>
      <c r="B76" s="11" t="s">
        <v>6</v>
      </c>
      <c r="C76" s="7">
        <v>994.42</v>
      </c>
      <c r="D76" s="77">
        <f>(12.89+12.87+12.95+12.96)/4</f>
        <v>12.92</v>
      </c>
      <c r="E76" s="7">
        <f t="shared" si="37"/>
        <v>14.22</v>
      </c>
      <c r="F76" s="1">
        <f t="shared" si="38"/>
        <v>0.2</v>
      </c>
      <c r="G76" s="7">
        <f t="shared" si="39"/>
        <v>14.02</v>
      </c>
      <c r="H76" s="7">
        <f t="shared" si="40"/>
        <v>-1.1000000000000001</v>
      </c>
      <c r="I76" s="83"/>
      <c r="J76" s="80">
        <f t="shared" si="41"/>
        <v>-1093.8620000000001</v>
      </c>
      <c r="K76" s="80"/>
      <c r="L76" s="4"/>
    </row>
    <row r="77" spans="1:14" x14ac:dyDescent="0.25">
      <c r="A77" s="11"/>
      <c r="B77" s="11" t="s">
        <v>6</v>
      </c>
      <c r="C77" s="7">
        <v>718.64</v>
      </c>
      <c r="D77" s="77">
        <f>(12.6+12.68+12.64+12.95)/4</f>
        <v>12.72</v>
      </c>
      <c r="E77" s="7">
        <f t="shared" si="37"/>
        <v>14.22</v>
      </c>
      <c r="F77" s="1">
        <f t="shared" si="38"/>
        <v>0.2</v>
      </c>
      <c r="G77" s="7">
        <f t="shared" si="39"/>
        <v>14.02</v>
      </c>
      <c r="H77" s="7">
        <f t="shared" si="40"/>
        <v>-1.3</v>
      </c>
      <c r="I77" s="83"/>
      <c r="J77" s="80">
        <f t="shared" si="41"/>
        <v>-934.23199999999997</v>
      </c>
      <c r="K77" s="80"/>
      <c r="L77" s="4"/>
    </row>
    <row r="78" spans="1:14" x14ac:dyDescent="0.25">
      <c r="A78" s="11"/>
      <c r="B78" s="11" t="s">
        <v>6</v>
      </c>
      <c r="C78" s="7">
        <v>28.98</v>
      </c>
      <c r="D78" s="77">
        <v>12.62</v>
      </c>
      <c r="E78" s="7">
        <f t="shared" si="37"/>
        <v>14.22</v>
      </c>
      <c r="F78" s="1">
        <f t="shared" si="38"/>
        <v>0.2</v>
      </c>
      <c r="G78" s="7">
        <f t="shared" si="39"/>
        <v>14.02</v>
      </c>
      <c r="H78" s="7">
        <f t="shared" si="40"/>
        <v>-1.4</v>
      </c>
      <c r="I78" s="83"/>
      <c r="J78" s="80">
        <f t="shared" si="41"/>
        <v>-40.572000000000003</v>
      </c>
      <c r="K78" s="80"/>
      <c r="L78" s="4"/>
      <c r="M78" s="116">
        <f>SUM(I46:I78)</f>
        <v>0</v>
      </c>
      <c r="N78" s="116">
        <f>SUM(J46:J78)</f>
        <v>-13094.04</v>
      </c>
    </row>
    <row r="79" spans="1:14" x14ac:dyDescent="0.25">
      <c r="A79" s="11" t="s">
        <v>66</v>
      </c>
      <c r="B79" s="1"/>
      <c r="C79" s="7"/>
      <c r="D79" s="77"/>
      <c r="E79" s="7"/>
      <c r="F79" s="1"/>
      <c r="G79" s="1"/>
      <c r="H79" s="7"/>
      <c r="I79" s="83"/>
      <c r="J79" s="80"/>
      <c r="K79" s="80"/>
      <c r="L79" s="4"/>
    </row>
    <row r="80" spans="1:14" x14ac:dyDescent="0.25">
      <c r="A80" s="84"/>
      <c r="B80" s="85"/>
      <c r="C80" s="117"/>
      <c r="D80" s="118"/>
      <c r="E80" s="117"/>
      <c r="F80" s="85"/>
      <c r="G80" s="85"/>
      <c r="H80" s="117"/>
      <c r="I80" s="119"/>
      <c r="J80" s="86"/>
      <c r="K80" s="86"/>
      <c r="L80" s="87"/>
    </row>
    <row r="81" spans="1:15" x14ac:dyDescent="0.25">
      <c r="A81" s="84"/>
      <c r="B81" s="85"/>
      <c r="C81" s="117"/>
      <c r="D81" s="118"/>
      <c r="E81" s="117"/>
      <c r="F81" s="85"/>
      <c r="G81" s="85"/>
      <c r="H81" s="117"/>
      <c r="I81" s="119"/>
      <c r="J81" s="86"/>
      <c r="K81" s="86"/>
      <c r="L81" s="87"/>
    </row>
    <row r="82" spans="1:15" x14ac:dyDescent="0.25">
      <c r="A82" s="84"/>
      <c r="B82" s="85"/>
      <c r="C82" s="117"/>
      <c r="D82" s="118"/>
      <c r="E82" s="117"/>
      <c r="F82" s="85"/>
      <c r="G82" s="85"/>
      <c r="H82" s="117"/>
      <c r="I82" s="119"/>
      <c r="J82" s="86"/>
      <c r="K82" s="86"/>
      <c r="L82" s="87"/>
    </row>
    <row r="83" spans="1:15" x14ac:dyDescent="0.25">
      <c r="A83" s="84"/>
      <c r="B83" s="85"/>
      <c r="C83" s="117"/>
      <c r="D83" s="118"/>
      <c r="E83" s="117"/>
      <c r="F83" s="85"/>
      <c r="G83" s="85"/>
      <c r="H83" s="117"/>
      <c r="I83" s="119"/>
      <c r="J83" s="86"/>
      <c r="K83" s="86"/>
      <c r="L83" s="87"/>
    </row>
    <row r="84" spans="1:15" x14ac:dyDescent="0.25">
      <c r="A84" s="84"/>
      <c r="B84" s="85"/>
      <c r="C84" s="117"/>
      <c r="D84" s="118"/>
      <c r="E84" s="117"/>
      <c r="F84" s="85"/>
      <c r="G84" s="85"/>
      <c r="H84" s="117"/>
      <c r="I84" s="119"/>
      <c r="J84" s="86"/>
      <c r="K84" s="86"/>
      <c r="L84" s="87"/>
    </row>
    <row r="85" spans="1:15" ht="15.75" thickBot="1" x14ac:dyDescent="0.3">
      <c r="A85" s="12"/>
      <c r="B85" s="5"/>
      <c r="C85" s="8"/>
      <c r="D85" s="78"/>
      <c r="E85" s="5"/>
      <c r="F85" s="5"/>
      <c r="G85" s="5"/>
      <c r="H85" s="8"/>
      <c r="I85" s="81"/>
      <c r="J85" s="81"/>
      <c r="K85" s="81"/>
      <c r="L85" s="6"/>
      <c r="M85" s="144" t="s">
        <v>96</v>
      </c>
      <c r="N85" s="144" t="s">
        <v>79</v>
      </c>
    </row>
    <row r="86" spans="1:15" x14ac:dyDescent="0.25">
      <c r="M86">
        <f>SUM(M3:M85)</f>
        <v>3517.37</v>
      </c>
      <c r="N86" s="145">
        <f>SUM(N3:N85)</f>
        <v>-13426.82</v>
      </c>
    </row>
    <row r="87" spans="1:15" x14ac:dyDescent="0.25">
      <c r="D87" t="s">
        <v>80</v>
      </c>
      <c r="E87" s="73">
        <f>M78+M45+M36+M25</f>
        <v>3517.37</v>
      </c>
      <c r="N87" s="73">
        <f>N78</f>
        <v>-13094.04</v>
      </c>
      <c r="O87" t="s">
        <v>94</v>
      </c>
    </row>
    <row r="88" spans="1:15" x14ac:dyDescent="0.25">
      <c r="D88" t="s">
        <v>79</v>
      </c>
      <c r="E88" s="73">
        <f>N78+N45+N36+N25</f>
        <v>-13426.82</v>
      </c>
      <c r="N88" s="73">
        <f>N45+N36+N25</f>
        <v>-332.78</v>
      </c>
      <c r="O88" t="s">
        <v>95</v>
      </c>
    </row>
    <row r="95" spans="1:15" ht="15.75" thickBot="1" x14ac:dyDescent="0.3"/>
    <row r="96" spans="1:15" ht="30" x14ac:dyDescent="0.25">
      <c r="A96" s="148"/>
      <c r="B96" s="142" t="s">
        <v>102</v>
      </c>
      <c r="C96" s="138" t="s">
        <v>97</v>
      </c>
      <c r="D96" s="138" t="s">
        <v>91</v>
      </c>
      <c r="E96" s="138" t="s">
        <v>92</v>
      </c>
      <c r="F96" s="149" t="s">
        <v>104</v>
      </c>
    </row>
    <row r="97" spans="1:6" x14ac:dyDescent="0.25">
      <c r="A97" s="139" t="s">
        <v>99</v>
      </c>
      <c r="B97" s="150">
        <f>SUM(C97:F97)</f>
        <v>0</v>
      </c>
      <c r="C97" s="75"/>
      <c r="D97" s="75"/>
      <c r="E97" s="75"/>
      <c r="F97" s="140"/>
    </row>
    <row r="98" spans="1:6" x14ac:dyDescent="0.25">
      <c r="A98" s="139" t="s">
        <v>96</v>
      </c>
      <c r="B98" s="150">
        <f>SUM(C98:F98)</f>
        <v>17320.04</v>
      </c>
      <c r="C98" s="75">
        <f>M86</f>
        <v>3517.37</v>
      </c>
      <c r="D98" s="75">
        <f>AF58</f>
        <v>2918.27</v>
      </c>
      <c r="E98" s="75">
        <f>BB48</f>
        <v>3830.55</v>
      </c>
      <c r="F98" s="140">
        <f>BW48</f>
        <v>7053.85</v>
      </c>
    </row>
    <row r="99" spans="1:6" ht="45" x14ac:dyDescent="0.25">
      <c r="A99" s="151" t="s">
        <v>100</v>
      </c>
      <c r="B99" s="150">
        <f>SUM(C99:F99)</f>
        <v>-21563.38</v>
      </c>
      <c r="C99" s="141">
        <f>N87</f>
        <v>-13094.04</v>
      </c>
      <c r="D99" s="141">
        <f>AG59</f>
        <v>-557.39</v>
      </c>
      <c r="E99" s="141">
        <f>BC49</f>
        <v>-198.88</v>
      </c>
      <c r="F99" s="152">
        <f>BX49</f>
        <v>-7713.07</v>
      </c>
    </row>
    <row r="100" spans="1:6" ht="60.75" thickBot="1" x14ac:dyDescent="0.3">
      <c r="A100" s="153" t="s">
        <v>101</v>
      </c>
      <c r="B100" s="154">
        <f>SUM(C100:F100)</f>
        <v>-1363.46</v>
      </c>
      <c r="C100" s="155">
        <f>N88</f>
        <v>-332.78</v>
      </c>
      <c r="D100" s="155">
        <f>AG60</f>
        <v>-572.83000000000004</v>
      </c>
      <c r="E100" s="155">
        <v>0</v>
      </c>
      <c r="F100" s="156">
        <f>BX50</f>
        <v>-457.85</v>
      </c>
    </row>
  </sheetData>
  <conditionalFormatting sqref="H6:H85 AA6:AA48 AW6:AW38">
    <cfRule type="cellIs" dxfId="1" priority="5" operator="lessThanOrEqual">
      <formula>0</formula>
    </cfRule>
  </conditionalFormatting>
  <conditionalFormatting sqref="BR6:BR38">
    <cfRule type="cellIs" dxfId="0" priority="1" operator="lessThanOrEqual">
      <formula>0</formula>
    </cfRule>
  </conditionalFormatting>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Расчет Парашютная </vt:lpstr>
      <vt:lpstr>Лист2</vt:lpstr>
      <vt:lpstr>не актуал. покрытия </vt:lpstr>
      <vt:lpstr>земляные работы </vt:lpstr>
      <vt:lpstr>'Расчет Парашютная '!Область_печати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2024-12-19T13:55:34Z</dcterms:modified>
</cp:coreProperties>
</file>