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mserver\Строительная Компания\Тендер\Кубинская\2 очередь\Тендеры\22. Фасады\2. Рассылка\"/>
    </mc:Choice>
  </mc:AlternateContent>
  <bookViews>
    <workbookView xWindow="0" yWindow="0" windowWidth="13875" windowHeight="11685"/>
  </bookViews>
  <sheets>
    <sheet name="рс" sheetId="47" r:id="rId1"/>
  </sheets>
  <definedNames>
    <definedName name="_xlnm._FilterDatabase" localSheetId="0" hidden="1">рс!$A$15:$V$474</definedName>
    <definedName name="Excel_BuiltIn_Print_Area_2">#REF!</definedName>
  </definedNames>
  <calcPr calcId="162913" fullPrecision="0"/>
</workbook>
</file>

<file path=xl/calcChain.xml><?xml version="1.0" encoding="utf-8"?>
<calcChain xmlns="http://schemas.openxmlformats.org/spreadsheetml/2006/main">
  <c r="S474" i="47" l="1"/>
  <c r="P458" i="47"/>
  <c r="P454" i="47"/>
  <c r="P450" i="47"/>
  <c r="P443" i="47"/>
  <c r="P439" i="47"/>
  <c r="P433" i="47"/>
  <c r="P429" i="47"/>
  <c r="P427" i="47"/>
  <c r="P422" i="47"/>
  <c r="P418" i="47"/>
  <c r="P413" i="47"/>
  <c r="P408" i="47"/>
  <c r="P405" i="47"/>
  <c r="P400" i="47"/>
  <c r="P396" i="47"/>
  <c r="P394" i="47"/>
  <c r="P384" i="47"/>
  <c r="P381" i="47"/>
  <c r="P379" i="47"/>
  <c r="P375" i="47"/>
  <c r="P371" i="47"/>
  <c r="P353" i="47"/>
  <c r="P345" i="47"/>
  <c r="P339" i="47"/>
  <c r="P334" i="47"/>
  <c r="P327" i="47"/>
  <c r="P321" i="47"/>
  <c r="P319" i="47"/>
  <c r="P314" i="47"/>
  <c r="P310" i="47"/>
  <c r="P306" i="47"/>
  <c r="P301" i="47"/>
  <c r="P296" i="47"/>
  <c r="P293" i="47"/>
  <c r="P288" i="47"/>
  <c r="P284" i="47"/>
  <c r="P282" i="47"/>
  <c r="P263" i="47"/>
  <c r="P259" i="47"/>
  <c r="P255" i="47"/>
  <c r="P252" i="47"/>
  <c r="P245" i="47"/>
  <c r="P241" i="47"/>
  <c r="P236" i="47"/>
  <c r="P229" i="47"/>
  <c r="P223" i="47"/>
  <c r="P221" i="47"/>
  <c r="P217" i="47"/>
  <c r="P213" i="47"/>
  <c r="P208" i="47"/>
  <c r="P204" i="47"/>
  <c r="P201" i="47"/>
  <c r="P197" i="47"/>
  <c r="P195" i="47"/>
  <c r="P176" i="47"/>
  <c r="P171" i="47"/>
  <c r="P167" i="47"/>
  <c r="P160" i="47"/>
  <c r="P154" i="47"/>
  <c r="P149" i="47"/>
  <c r="P142" i="47"/>
  <c r="P136" i="47"/>
  <c r="P134" i="47"/>
  <c r="P129" i="47"/>
  <c r="P125" i="47"/>
  <c r="P120" i="47"/>
  <c r="P116" i="47"/>
  <c r="P111" i="47"/>
  <c r="P106" i="47"/>
  <c r="P102" i="47"/>
  <c r="P99" i="47"/>
  <c r="P94" i="47"/>
  <c r="P90" i="47"/>
  <c r="P88" i="47"/>
  <c r="P70" i="47"/>
  <c r="P65" i="47"/>
  <c r="P57" i="47"/>
  <c r="P53" i="47"/>
  <c r="P44" i="47"/>
  <c r="P39" i="47"/>
  <c r="P37" i="47"/>
  <c r="P33" i="47"/>
  <c r="P28" i="47"/>
  <c r="P25" i="47"/>
  <c r="P21" i="47"/>
  <c r="P19" i="47"/>
  <c r="K316" i="47" l="1"/>
  <c r="J316" i="47"/>
  <c r="I316" i="47"/>
  <c r="K314" i="47"/>
  <c r="J314" i="47"/>
  <c r="I314" i="47"/>
  <c r="I212" i="47"/>
  <c r="I211" i="47"/>
  <c r="H212" i="47"/>
  <c r="H211" i="47"/>
  <c r="O123" i="47" l="1"/>
  <c r="O124" i="47"/>
  <c r="K131" i="47"/>
  <c r="J131" i="47"/>
  <c r="K129" i="47"/>
  <c r="J129" i="47"/>
  <c r="I129" i="47"/>
  <c r="I122" i="47"/>
  <c r="O122" i="47" s="1"/>
  <c r="O119" i="47"/>
  <c r="O118" i="47"/>
  <c r="O117" i="47"/>
  <c r="O116" i="47"/>
  <c r="T116" i="47" s="1"/>
  <c r="R116" i="47" l="1"/>
  <c r="S116" i="47"/>
  <c r="U116" i="47" s="1"/>
  <c r="M426" i="47" l="1"/>
  <c r="M425" i="47"/>
  <c r="L426" i="47"/>
  <c r="L425" i="47"/>
  <c r="N421" i="47"/>
  <c r="N420" i="47"/>
  <c r="M417" i="47"/>
  <c r="M416" i="47"/>
  <c r="L417" i="47"/>
  <c r="L416" i="47"/>
  <c r="N412" i="47"/>
  <c r="N411" i="47"/>
  <c r="G319" i="47" l="1"/>
  <c r="H319" i="47"/>
  <c r="I319" i="47"/>
  <c r="J319" i="47"/>
  <c r="K319" i="47"/>
  <c r="F319" i="47"/>
  <c r="K318" i="47"/>
  <c r="K317" i="47"/>
  <c r="J318" i="47"/>
  <c r="J317" i="47"/>
  <c r="I318" i="47"/>
  <c r="O318" i="47" s="1"/>
  <c r="I317" i="47"/>
  <c r="H313" i="47"/>
  <c r="H312" i="47"/>
  <c r="F313" i="47"/>
  <c r="F312" i="47"/>
  <c r="K305" i="47"/>
  <c r="J305" i="47"/>
  <c r="I305" i="47"/>
  <c r="I304" i="47"/>
  <c r="J304" i="47"/>
  <c r="K304" i="47"/>
  <c r="K299" i="47"/>
  <c r="H300" i="47"/>
  <c r="H299" i="47"/>
  <c r="F299" i="47"/>
  <c r="F287" i="47"/>
  <c r="F286" i="47"/>
  <c r="O317" i="47" l="1"/>
  <c r="O319" i="47"/>
  <c r="I220" i="47" l="1"/>
  <c r="I219" i="47"/>
  <c r="H220" i="47"/>
  <c r="H219" i="47"/>
  <c r="K115" i="47" l="1"/>
  <c r="K114" i="47"/>
  <c r="J115" i="47"/>
  <c r="J114" i="47"/>
  <c r="I115" i="47"/>
  <c r="I114" i="47"/>
  <c r="K110" i="47"/>
  <c r="K109" i="47"/>
  <c r="I110" i="47"/>
  <c r="I109" i="47"/>
  <c r="F110" i="47"/>
  <c r="F109" i="47"/>
  <c r="K133" i="47"/>
  <c r="K132" i="47"/>
  <c r="J132" i="47"/>
  <c r="J133" i="47"/>
  <c r="I133" i="47"/>
  <c r="I132" i="47"/>
  <c r="F128" i="47"/>
  <c r="F127" i="47"/>
  <c r="K135" i="47"/>
  <c r="J135" i="47"/>
  <c r="I135" i="47"/>
  <c r="H135" i="47"/>
  <c r="G135" i="47"/>
  <c r="F135" i="47"/>
  <c r="G36" i="47"/>
  <c r="G35" i="47"/>
  <c r="F36" i="47" l="1"/>
  <c r="F35" i="47"/>
  <c r="G32" i="47"/>
  <c r="G31" i="47"/>
  <c r="F32" i="47"/>
  <c r="F31" i="47"/>
  <c r="O421" i="47" l="1"/>
  <c r="O420" i="47"/>
  <c r="N418" i="47"/>
  <c r="O418" i="47" s="1"/>
  <c r="L413" i="47"/>
  <c r="M413" i="47"/>
  <c r="L412" i="47"/>
  <c r="M412" i="47"/>
  <c r="O412" i="47" s="1"/>
  <c r="M411" i="47"/>
  <c r="L411" i="47"/>
  <c r="M408" i="47"/>
  <c r="N408" i="47"/>
  <c r="L408" i="47"/>
  <c r="M404" i="47"/>
  <c r="M403" i="47"/>
  <c r="L404" i="47"/>
  <c r="L403" i="47"/>
  <c r="L399" i="47"/>
  <c r="M399" i="47"/>
  <c r="N399" i="47"/>
  <c r="N398" i="47"/>
  <c r="M398" i="47"/>
  <c r="L398" i="47"/>
  <c r="O402" i="47"/>
  <c r="O419" i="47"/>
  <c r="O410" i="47"/>
  <c r="O409" i="47"/>
  <c r="O397" i="47"/>
  <c r="O396" i="47"/>
  <c r="O399" i="47" l="1"/>
  <c r="O424" i="47"/>
  <c r="R418" i="47"/>
  <c r="O411" i="47"/>
  <c r="O408" i="47"/>
  <c r="T408" i="47" s="1"/>
  <c r="O398" i="47"/>
  <c r="T418" i="47"/>
  <c r="R408" i="47"/>
  <c r="T396" i="47"/>
  <c r="R396" i="47" l="1"/>
  <c r="O316" i="47"/>
  <c r="S418" i="47"/>
  <c r="U418" i="47" s="1"/>
  <c r="S408" i="47"/>
  <c r="U408" i="47" s="1"/>
  <c r="O313" i="47"/>
  <c r="O312" i="47"/>
  <c r="O311" i="47"/>
  <c r="O310" i="47"/>
  <c r="T310" i="47" s="1"/>
  <c r="S396" i="47" l="1"/>
  <c r="U396" i="47" s="1"/>
  <c r="R310" i="47"/>
  <c r="S310" i="47" l="1"/>
  <c r="U310" i="47" s="1"/>
  <c r="O309" i="47" l="1"/>
  <c r="O308" i="47"/>
  <c r="O307" i="47"/>
  <c r="O306" i="47"/>
  <c r="T306" i="47" s="1"/>
  <c r="R306" i="47" l="1"/>
  <c r="K292" i="47"/>
  <c r="J292" i="47"/>
  <c r="I292" i="47"/>
  <c r="K291" i="47"/>
  <c r="J291" i="47"/>
  <c r="I291" i="47"/>
  <c r="K287" i="47"/>
  <c r="J287" i="47"/>
  <c r="I287" i="47"/>
  <c r="H287" i="47"/>
  <c r="G287" i="47"/>
  <c r="K286" i="47"/>
  <c r="J286" i="47"/>
  <c r="I286" i="47"/>
  <c r="H286" i="47"/>
  <c r="G286" i="47"/>
  <c r="K290" i="47"/>
  <c r="J290" i="47"/>
  <c r="I290" i="47"/>
  <c r="G296" i="47"/>
  <c r="H296" i="47"/>
  <c r="I296" i="47"/>
  <c r="J296" i="47"/>
  <c r="K296" i="47"/>
  <c r="F296" i="47"/>
  <c r="K301" i="47"/>
  <c r="J301" i="47"/>
  <c r="I301" i="47"/>
  <c r="I303" i="47"/>
  <c r="K303" i="47"/>
  <c r="J303" i="47"/>
  <c r="K300" i="47"/>
  <c r="J300" i="47"/>
  <c r="I300" i="47"/>
  <c r="G300" i="47"/>
  <c r="F300" i="47"/>
  <c r="J299" i="47"/>
  <c r="I299" i="47"/>
  <c r="G299" i="47"/>
  <c r="O298" i="47"/>
  <c r="O297" i="47"/>
  <c r="K288" i="47"/>
  <c r="J288" i="47"/>
  <c r="I288" i="47"/>
  <c r="O290" i="47" l="1"/>
  <c r="S306" i="47"/>
  <c r="U306" i="47" s="1"/>
  <c r="O300" i="47"/>
  <c r="O291" i="47"/>
  <c r="O296" i="47"/>
  <c r="T296" i="47" s="1"/>
  <c r="O299" i="47"/>
  <c r="R296" i="47" l="1"/>
  <c r="S296" i="47" l="1"/>
  <c r="U296" i="47" s="1"/>
  <c r="G284" i="47"/>
  <c r="H284" i="47"/>
  <c r="I284" i="47"/>
  <c r="J284" i="47"/>
  <c r="K284" i="47"/>
  <c r="O287" i="47"/>
  <c r="O286" i="47"/>
  <c r="O285" i="47"/>
  <c r="O284" i="47" l="1"/>
  <c r="T284" i="47" s="1"/>
  <c r="R284" i="47" l="1"/>
  <c r="S284" i="47" l="1"/>
  <c r="U284" i="47" s="1"/>
  <c r="F147" i="47"/>
  <c r="K113" i="47"/>
  <c r="J113" i="47"/>
  <c r="I113" i="47"/>
  <c r="K111" i="47"/>
  <c r="J111" i="47"/>
  <c r="I111" i="47"/>
  <c r="J110" i="47"/>
  <c r="H110" i="47"/>
  <c r="G110" i="47"/>
  <c r="J109" i="47"/>
  <c r="H109" i="47"/>
  <c r="G109" i="47"/>
  <c r="G106" i="47"/>
  <c r="H106" i="47"/>
  <c r="F106" i="47"/>
  <c r="K106" i="47"/>
  <c r="J106" i="47"/>
  <c r="I106" i="47"/>
  <c r="K93" i="47"/>
  <c r="J93" i="47"/>
  <c r="I93" i="47"/>
  <c r="K92" i="47"/>
  <c r="J92" i="47"/>
  <c r="K98" i="47"/>
  <c r="J98" i="47"/>
  <c r="I98" i="47"/>
  <c r="K97" i="47"/>
  <c r="J97" i="47"/>
  <c r="I97" i="47"/>
  <c r="J94" i="47"/>
  <c r="K94" i="47"/>
  <c r="I94" i="47"/>
  <c r="I92" i="47"/>
  <c r="O132" i="47" l="1"/>
  <c r="O113" i="47"/>
  <c r="O115" i="47"/>
  <c r="O128" i="47"/>
  <c r="O127" i="47"/>
  <c r="O126" i="47"/>
  <c r="O125" i="47"/>
  <c r="O96" i="47"/>
  <c r="O112" i="47"/>
  <c r="O97" i="47"/>
  <c r="H93" i="47"/>
  <c r="G93" i="47"/>
  <c r="F93" i="47"/>
  <c r="H92" i="47"/>
  <c r="G92" i="47"/>
  <c r="F92" i="47"/>
  <c r="H90" i="47"/>
  <c r="G90" i="47"/>
  <c r="F90" i="47"/>
  <c r="O95" i="47"/>
  <c r="G33" i="47"/>
  <c r="H33" i="47"/>
  <c r="F33" i="47"/>
  <c r="O34" i="47"/>
  <c r="O114" i="47" l="1"/>
  <c r="O111" i="47"/>
  <c r="T111" i="47" s="1"/>
  <c r="R125" i="47"/>
  <c r="T125" i="47"/>
  <c r="O98" i="47"/>
  <c r="O94" i="47"/>
  <c r="T94" i="47" s="1"/>
  <c r="R74" i="47"/>
  <c r="R94" i="47" l="1"/>
  <c r="R111" i="47"/>
  <c r="S125" i="47"/>
  <c r="U125" i="47" s="1"/>
  <c r="O338" i="47"/>
  <c r="G337" i="47"/>
  <c r="F337" i="47"/>
  <c r="O336" i="47"/>
  <c r="O335" i="47"/>
  <c r="O334" i="47"/>
  <c r="T334" i="47" s="1"/>
  <c r="K333" i="47"/>
  <c r="I333" i="47"/>
  <c r="H333" i="47"/>
  <c r="G333" i="47"/>
  <c r="F333" i="47"/>
  <c r="K332" i="47"/>
  <c r="I332" i="47"/>
  <c r="H332" i="47"/>
  <c r="G332" i="47"/>
  <c r="F332" i="47"/>
  <c r="H331" i="47"/>
  <c r="G331" i="47"/>
  <c r="F331" i="47"/>
  <c r="K330" i="47"/>
  <c r="H330" i="47"/>
  <c r="J329" i="47"/>
  <c r="I329" i="47"/>
  <c r="K328" i="47"/>
  <c r="J328" i="47"/>
  <c r="I328" i="47"/>
  <c r="H328" i="47"/>
  <c r="G328" i="47"/>
  <c r="F328" i="47"/>
  <c r="O327" i="47"/>
  <c r="T327" i="47" s="1"/>
  <c r="F238" i="47"/>
  <c r="O238" i="47" s="1"/>
  <c r="F237" i="47"/>
  <c r="F236" i="47" s="1"/>
  <c r="F230" i="47"/>
  <c r="F229" i="47" s="1"/>
  <c r="F240" i="47"/>
  <c r="F235" i="47"/>
  <c r="F233" i="47"/>
  <c r="H240" i="47"/>
  <c r="H239" i="47"/>
  <c r="F239" i="47"/>
  <c r="H236" i="47"/>
  <c r="I235" i="47"/>
  <c r="H235" i="47"/>
  <c r="G235" i="47"/>
  <c r="I234" i="47"/>
  <c r="H234" i="47"/>
  <c r="G234" i="47"/>
  <c r="F234" i="47"/>
  <c r="H233" i="47"/>
  <c r="G233" i="47"/>
  <c r="I232" i="47"/>
  <c r="H232" i="47"/>
  <c r="G232" i="47"/>
  <c r="H231" i="47"/>
  <c r="G231" i="47"/>
  <c r="F231" i="47"/>
  <c r="I230" i="47"/>
  <c r="I229" i="47" s="1"/>
  <c r="H230" i="47"/>
  <c r="H229" i="47" s="1"/>
  <c r="G230" i="47"/>
  <c r="G229" i="47" s="1"/>
  <c r="G153" i="47"/>
  <c r="G152" i="47"/>
  <c r="G148" i="47"/>
  <c r="G146" i="47"/>
  <c r="O151" i="47"/>
  <c r="G150" i="47"/>
  <c r="O150" i="47" s="1"/>
  <c r="G143" i="47"/>
  <c r="G142" i="47" s="1"/>
  <c r="H153" i="47"/>
  <c r="F153" i="47"/>
  <c r="H152" i="47"/>
  <c r="F152" i="47"/>
  <c r="H149" i="47"/>
  <c r="F149" i="47"/>
  <c r="K148" i="47"/>
  <c r="J148" i="47"/>
  <c r="I148" i="47"/>
  <c r="H148" i="47"/>
  <c r="F148" i="47"/>
  <c r="K147" i="47"/>
  <c r="J147" i="47"/>
  <c r="I147" i="47"/>
  <c r="H147" i="47"/>
  <c r="G147" i="47"/>
  <c r="J146" i="47"/>
  <c r="I146" i="47"/>
  <c r="H146" i="47"/>
  <c r="F146" i="47"/>
  <c r="K145" i="47"/>
  <c r="J145" i="47"/>
  <c r="I145" i="47"/>
  <c r="H145" i="47"/>
  <c r="I144" i="47"/>
  <c r="H144" i="47"/>
  <c r="G144" i="47"/>
  <c r="F144" i="47"/>
  <c r="K143" i="47"/>
  <c r="K142" i="47" s="1"/>
  <c r="J143" i="47"/>
  <c r="J142" i="47" s="1"/>
  <c r="I143" i="47"/>
  <c r="I142" i="47" s="1"/>
  <c r="H143" i="47"/>
  <c r="H142" i="47" s="1"/>
  <c r="F143" i="47"/>
  <c r="F142" i="47" s="1"/>
  <c r="F154" i="47"/>
  <c r="G154" i="47"/>
  <c r="H154" i="47"/>
  <c r="S94" i="47" l="1"/>
  <c r="U94" i="47" s="1"/>
  <c r="S111" i="47"/>
  <c r="U111" i="47" s="1"/>
  <c r="O328" i="47"/>
  <c r="O331" i="47"/>
  <c r="O337" i="47"/>
  <c r="R334" i="47" s="1"/>
  <c r="O143" i="47"/>
  <c r="O332" i="47"/>
  <c r="O329" i="47"/>
  <c r="O330" i="47"/>
  <c r="O333" i="47"/>
  <c r="O154" i="47"/>
  <c r="T154" i="47" s="1"/>
  <c r="O240" i="47"/>
  <c r="O239" i="47"/>
  <c r="O152" i="47"/>
  <c r="O142" i="47"/>
  <c r="T142" i="47" s="1"/>
  <c r="O231" i="47"/>
  <c r="O232" i="47"/>
  <c r="O235" i="47"/>
  <c r="O234" i="47"/>
  <c r="O236" i="47"/>
  <c r="T236" i="47" s="1"/>
  <c r="O233" i="47"/>
  <c r="O229" i="47"/>
  <c r="O237" i="47"/>
  <c r="O230" i="47"/>
  <c r="O144" i="47"/>
  <c r="O145" i="47"/>
  <c r="O146" i="47"/>
  <c r="O147" i="47"/>
  <c r="O148" i="47"/>
  <c r="O153" i="47"/>
  <c r="G149" i="47"/>
  <c r="O149" i="47" s="1"/>
  <c r="T390" i="47"/>
  <c r="S390" i="47"/>
  <c r="R390" i="47"/>
  <c r="T389" i="47"/>
  <c r="S389" i="47"/>
  <c r="S388" i="47" s="1"/>
  <c r="R389" i="47"/>
  <c r="O387" i="47"/>
  <c r="O386" i="47"/>
  <c r="O384" i="47"/>
  <c r="O383" i="47"/>
  <c r="O382" i="47"/>
  <c r="T381" i="47"/>
  <c r="O380" i="47"/>
  <c r="O378" i="47"/>
  <c r="O377" i="47"/>
  <c r="O376" i="47"/>
  <c r="O375" i="47"/>
  <c r="T375" i="47" s="1"/>
  <c r="O374" i="47"/>
  <c r="O373" i="47"/>
  <c r="O371" i="47"/>
  <c r="S381" i="47" l="1"/>
  <c r="U381" i="47" s="1"/>
  <c r="R149" i="47"/>
  <c r="S327" i="47"/>
  <c r="U327" i="47" s="1"/>
  <c r="S371" i="47"/>
  <c r="T384" i="47"/>
  <c r="S384" i="47"/>
  <c r="R229" i="47"/>
  <c r="R236" i="47"/>
  <c r="R142" i="47"/>
  <c r="O379" i="47"/>
  <c r="T379" i="47" s="1"/>
  <c r="R375" i="47"/>
  <c r="S334" i="47"/>
  <c r="U334" i="47" s="1"/>
  <c r="T229" i="47"/>
  <c r="T149" i="47"/>
  <c r="U390" i="47"/>
  <c r="U389" i="47"/>
  <c r="T371" i="47"/>
  <c r="T388" i="47"/>
  <c r="T370" i="47" l="1"/>
  <c r="R379" i="47"/>
  <c r="U384" i="47"/>
  <c r="S236" i="47"/>
  <c r="U236" i="47" s="1"/>
  <c r="R327" i="47"/>
  <c r="R381" i="47"/>
  <c r="S229" i="47"/>
  <c r="U229" i="47" s="1"/>
  <c r="S142" i="47"/>
  <c r="U142" i="47" s="1"/>
  <c r="S149" i="47"/>
  <c r="U149" i="47" s="1"/>
  <c r="R371" i="47"/>
  <c r="U388" i="47"/>
  <c r="R384" i="47"/>
  <c r="S375" i="47"/>
  <c r="U375" i="47" s="1"/>
  <c r="U371" i="47"/>
  <c r="S379" i="47"/>
  <c r="U379" i="47" s="1"/>
  <c r="S370" i="47" l="1"/>
  <c r="T369" i="47"/>
  <c r="S369" i="47"/>
  <c r="U370" i="47" l="1"/>
  <c r="U369" i="47"/>
  <c r="L438" i="47"/>
  <c r="L434" i="47"/>
  <c r="L436" i="47"/>
  <c r="O176" i="47" l="1"/>
  <c r="J351" i="47" l="1"/>
  <c r="I351" i="47"/>
  <c r="G351" i="47"/>
  <c r="G350" i="47"/>
  <c r="F351" i="47"/>
  <c r="K352" i="47"/>
  <c r="H352" i="47"/>
  <c r="H350" i="47"/>
  <c r="F350" i="47"/>
  <c r="K349" i="47"/>
  <c r="H349" i="47"/>
  <c r="J348" i="47"/>
  <c r="I348" i="47"/>
  <c r="N450" i="47" l="1"/>
  <c r="M450" i="47"/>
  <c r="L450" i="47"/>
  <c r="G252" i="47"/>
  <c r="O77" i="47" l="1"/>
  <c r="O262" i="47" l="1"/>
  <c r="O261" i="47"/>
  <c r="O260" i="47"/>
  <c r="O259" i="47"/>
  <c r="T259" i="47" s="1"/>
  <c r="R259" i="47" l="1"/>
  <c r="S259" i="47" l="1"/>
  <c r="U259" i="47" s="1"/>
  <c r="O473" i="47" l="1"/>
  <c r="S473" i="47" s="1"/>
  <c r="R473" i="47"/>
  <c r="T473" i="47" l="1"/>
  <c r="U473" i="47" s="1"/>
  <c r="O368" i="47" l="1"/>
  <c r="S368" i="47" s="1"/>
  <c r="R368" i="47"/>
  <c r="T368" i="47" l="1"/>
  <c r="U368" i="47" s="1"/>
  <c r="O279" i="47" l="1"/>
  <c r="S279" i="47" s="1"/>
  <c r="R279" i="47"/>
  <c r="T279" i="47" l="1"/>
  <c r="U279" i="47" s="1"/>
  <c r="O192" i="47"/>
  <c r="S192" i="47" s="1"/>
  <c r="R192" i="47"/>
  <c r="R85" i="47"/>
  <c r="O85" i="47"/>
  <c r="T85" i="47" s="1"/>
  <c r="T192" i="47" l="1"/>
  <c r="U192" i="47" s="1"/>
  <c r="S85" i="47"/>
  <c r="U85" i="47" s="1"/>
  <c r="R463" i="47" l="1"/>
  <c r="R462" i="47"/>
  <c r="M457" i="47"/>
  <c r="L457" i="47"/>
  <c r="M456" i="47"/>
  <c r="L456" i="47"/>
  <c r="N453" i="47"/>
  <c r="M453" i="47"/>
  <c r="L453" i="47"/>
  <c r="N452" i="47"/>
  <c r="O452" i="47" s="1"/>
  <c r="M451" i="47"/>
  <c r="L451" i="47"/>
  <c r="M448" i="47"/>
  <c r="L448" i="47"/>
  <c r="M446" i="47"/>
  <c r="L446" i="47"/>
  <c r="N449" i="47"/>
  <c r="O449" i="47" s="1"/>
  <c r="N447" i="47"/>
  <c r="O447" i="47" s="1"/>
  <c r="M443" i="47"/>
  <c r="N443" i="47"/>
  <c r="L443" i="47"/>
  <c r="M442" i="47"/>
  <c r="L442" i="47"/>
  <c r="M441" i="47"/>
  <c r="L441" i="47"/>
  <c r="M439" i="47"/>
  <c r="N437" i="47"/>
  <c r="M437" i="47"/>
  <c r="L437" i="47"/>
  <c r="N436" i="47"/>
  <c r="O436" i="47" s="1"/>
  <c r="M435" i="47"/>
  <c r="L435" i="47"/>
  <c r="N438" i="47"/>
  <c r="M438" i="47"/>
  <c r="N432" i="47"/>
  <c r="M432" i="47"/>
  <c r="L432" i="47"/>
  <c r="N431" i="47"/>
  <c r="O431" i="47" s="1"/>
  <c r="M430" i="47"/>
  <c r="L430" i="47"/>
  <c r="O413" i="47"/>
  <c r="T413" i="47" s="1"/>
  <c r="M407" i="47"/>
  <c r="L407" i="47"/>
  <c r="M406" i="47"/>
  <c r="L406" i="47"/>
  <c r="O395" i="47"/>
  <c r="O401" i="47"/>
  <c r="O405" i="47"/>
  <c r="O414" i="47"/>
  <c r="O415" i="47"/>
  <c r="O422" i="47"/>
  <c r="T422" i="47" s="1"/>
  <c r="O423" i="47"/>
  <c r="O428" i="47"/>
  <c r="O444" i="47"/>
  <c r="O454" i="47"/>
  <c r="T454" i="47" s="1"/>
  <c r="O455" i="47"/>
  <c r="O458" i="47"/>
  <c r="T458" i="47" s="1"/>
  <c r="O459" i="47"/>
  <c r="O461" i="47"/>
  <c r="O462" i="47"/>
  <c r="T462" i="47" s="1"/>
  <c r="O463" i="47"/>
  <c r="T463" i="47" s="1"/>
  <c r="O394" i="47"/>
  <c r="T394" i="47" s="1"/>
  <c r="O466" i="47"/>
  <c r="T466" i="47" s="1"/>
  <c r="O467" i="47"/>
  <c r="T467" i="47" s="1"/>
  <c r="O469" i="47"/>
  <c r="T469" i="47" s="1"/>
  <c r="O470" i="47"/>
  <c r="S470" i="47" s="1"/>
  <c r="O471" i="47"/>
  <c r="T471" i="47" s="1"/>
  <c r="O472" i="47"/>
  <c r="T472" i="47" s="1"/>
  <c r="O465" i="47"/>
  <c r="T465" i="47" s="1"/>
  <c r="R472" i="47"/>
  <c r="R471" i="47"/>
  <c r="R470" i="47"/>
  <c r="R469" i="47"/>
  <c r="R468" i="47"/>
  <c r="R467" i="47"/>
  <c r="R466" i="47"/>
  <c r="R465" i="47"/>
  <c r="O320" i="47"/>
  <c r="O451" i="47" l="1"/>
  <c r="O453" i="47"/>
  <c r="O435" i="47"/>
  <c r="O448" i="47"/>
  <c r="O457" i="47"/>
  <c r="O446" i="47"/>
  <c r="S462" i="47"/>
  <c r="U462" i="47" s="1"/>
  <c r="S463" i="47"/>
  <c r="U463" i="47" s="1"/>
  <c r="O442" i="47"/>
  <c r="O456" i="47"/>
  <c r="O450" i="47"/>
  <c r="T450" i="47" s="1"/>
  <c r="O445" i="47"/>
  <c r="O443" i="47"/>
  <c r="T443" i="47" s="1"/>
  <c r="O441" i="47"/>
  <c r="L439" i="47"/>
  <c r="O439" i="47" s="1"/>
  <c r="O440" i="47"/>
  <c r="O437" i="47"/>
  <c r="O438" i="47"/>
  <c r="O404" i="47"/>
  <c r="O426" i="47"/>
  <c r="S394" i="47"/>
  <c r="O432" i="47"/>
  <c r="O430" i="47"/>
  <c r="O429" i="47"/>
  <c r="T429" i="47" s="1"/>
  <c r="O407" i="47"/>
  <c r="O417" i="47"/>
  <c r="O406" i="47"/>
  <c r="O425" i="47"/>
  <c r="O416" i="47"/>
  <c r="T405" i="47"/>
  <c r="O403" i="47"/>
  <c r="S472" i="47"/>
  <c r="U472" i="47" s="1"/>
  <c r="S467" i="47"/>
  <c r="U467" i="47" s="1"/>
  <c r="S469" i="47"/>
  <c r="U469" i="47" s="1"/>
  <c r="T470" i="47"/>
  <c r="U470" i="47" s="1"/>
  <c r="S471" i="47"/>
  <c r="U471" i="47" s="1"/>
  <c r="S466" i="47"/>
  <c r="U466" i="47" s="1"/>
  <c r="S465" i="47"/>
  <c r="T319" i="47"/>
  <c r="R319" i="47"/>
  <c r="U394" i="47" l="1"/>
  <c r="S413" i="47"/>
  <c r="U413" i="47" s="1"/>
  <c r="R422" i="47"/>
  <c r="S439" i="47"/>
  <c r="S443" i="47"/>
  <c r="U443" i="47" s="1"/>
  <c r="S454" i="47"/>
  <c r="U454" i="47" s="1"/>
  <c r="S429" i="47"/>
  <c r="U429" i="47" s="1"/>
  <c r="S405" i="47"/>
  <c r="U405" i="47" s="1"/>
  <c r="T439" i="47"/>
  <c r="R394" i="47"/>
  <c r="U465" i="47"/>
  <c r="S319" i="47"/>
  <c r="U319" i="47" s="1"/>
  <c r="R454" i="47" l="1"/>
  <c r="R405" i="47"/>
  <c r="R429" i="47"/>
  <c r="R443" i="47"/>
  <c r="S450" i="47"/>
  <c r="U450" i="47" s="1"/>
  <c r="R450" i="47"/>
  <c r="S422" i="47"/>
  <c r="U422" i="47" s="1"/>
  <c r="R439" i="47"/>
  <c r="U439" i="47"/>
  <c r="R413" i="47"/>
  <c r="I221" i="47"/>
  <c r="H221" i="47"/>
  <c r="G221" i="47"/>
  <c r="F221" i="47"/>
  <c r="O222" i="47" l="1"/>
  <c r="O221" i="47"/>
  <c r="T221" i="47" s="1"/>
  <c r="R221" i="47" l="1"/>
  <c r="S221" i="47" l="1"/>
  <c r="U221" i="47" s="1"/>
  <c r="O135" i="47"/>
  <c r="O134" i="47"/>
  <c r="K356" i="47"/>
  <c r="J356" i="47"/>
  <c r="I356" i="47"/>
  <c r="K355" i="47"/>
  <c r="J355" i="47"/>
  <c r="I355" i="47"/>
  <c r="R358" i="47"/>
  <c r="R357" i="47"/>
  <c r="G343" i="47"/>
  <c r="F343" i="47"/>
  <c r="G342" i="47"/>
  <c r="F342" i="47"/>
  <c r="H344" i="47"/>
  <c r="H341" i="47"/>
  <c r="F325" i="47"/>
  <c r="G324" i="47"/>
  <c r="F324" i="47"/>
  <c r="H323" i="47"/>
  <c r="K323" i="47"/>
  <c r="J322" i="47"/>
  <c r="I322" i="47"/>
  <c r="K326" i="47"/>
  <c r="J326" i="47"/>
  <c r="I326" i="47"/>
  <c r="H326" i="47"/>
  <c r="G326" i="47"/>
  <c r="F326" i="47"/>
  <c r="H295" i="47"/>
  <c r="G295" i="47"/>
  <c r="F295" i="47"/>
  <c r="H294" i="47"/>
  <c r="G294" i="47"/>
  <c r="F294" i="47"/>
  <c r="R367" i="47"/>
  <c r="R366" i="47"/>
  <c r="R365" i="47"/>
  <c r="R364" i="47"/>
  <c r="R363" i="47"/>
  <c r="R362" i="47"/>
  <c r="R361" i="47"/>
  <c r="R360" i="47"/>
  <c r="R278" i="47"/>
  <c r="R277" i="47"/>
  <c r="R276" i="47"/>
  <c r="R275" i="47"/>
  <c r="R274" i="47"/>
  <c r="R273" i="47"/>
  <c r="R272" i="47"/>
  <c r="R271" i="47"/>
  <c r="R270" i="47"/>
  <c r="R268" i="47"/>
  <c r="R267" i="47"/>
  <c r="G257" i="47"/>
  <c r="O257" i="47" s="1"/>
  <c r="G258" i="47"/>
  <c r="O258" i="47" s="1"/>
  <c r="O256" i="47"/>
  <c r="O267" i="47"/>
  <c r="S267" i="47" s="1"/>
  <c r="G254" i="47"/>
  <c r="G253" i="47"/>
  <c r="O241" i="47"/>
  <c r="I251" i="47"/>
  <c r="H251" i="47"/>
  <c r="G251" i="47"/>
  <c r="I248" i="47"/>
  <c r="H248" i="47"/>
  <c r="G248" i="47"/>
  <c r="H249" i="47"/>
  <c r="G249" i="47"/>
  <c r="F249" i="47"/>
  <c r="H250" i="47"/>
  <c r="G250" i="47"/>
  <c r="F250" i="47"/>
  <c r="I244" i="47"/>
  <c r="H244" i="47"/>
  <c r="H243" i="47"/>
  <c r="G212" i="47"/>
  <c r="F212" i="47"/>
  <c r="G211" i="47"/>
  <c r="G208" i="47"/>
  <c r="H208" i="47"/>
  <c r="I208" i="47"/>
  <c r="F208" i="47"/>
  <c r="F211" i="47"/>
  <c r="I203" i="47"/>
  <c r="G203" i="47"/>
  <c r="F203" i="47"/>
  <c r="I202" i="47"/>
  <c r="G202" i="47"/>
  <c r="F202" i="47"/>
  <c r="I200" i="47"/>
  <c r="H200" i="47"/>
  <c r="G200" i="47"/>
  <c r="F200" i="47"/>
  <c r="I199" i="47"/>
  <c r="H199" i="47"/>
  <c r="G199" i="47"/>
  <c r="F199" i="47"/>
  <c r="R191" i="47"/>
  <c r="K170" i="47"/>
  <c r="J170" i="47"/>
  <c r="I170" i="47"/>
  <c r="K169" i="47"/>
  <c r="J169" i="47"/>
  <c r="I169" i="47"/>
  <c r="R181" i="47"/>
  <c r="R180" i="47"/>
  <c r="O180" i="47"/>
  <c r="S180" i="47" s="1"/>
  <c r="J166" i="47"/>
  <c r="I166" i="47"/>
  <c r="H166" i="47"/>
  <c r="G166" i="47"/>
  <c r="F166" i="47"/>
  <c r="J164" i="47"/>
  <c r="I164" i="47"/>
  <c r="H164" i="47"/>
  <c r="G164" i="47"/>
  <c r="F164" i="47"/>
  <c r="K165" i="47"/>
  <c r="J165" i="47"/>
  <c r="I165" i="47"/>
  <c r="H165" i="47"/>
  <c r="K163" i="47"/>
  <c r="J163" i="47"/>
  <c r="I163" i="47"/>
  <c r="H163" i="47"/>
  <c r="H158" i="47"/>
  <c r="O158" i="47" s="1"/>
  <c r="G160" i="47"/>
  <c r="K160" i="47"/>
  <c r="F160" i="47"/>
  <c r="H156" i="47"/>
  <c r="O156" i="47" s="1"/>
  <c r="G157" i="47"/>
  <c r="F157" i="47"/>
  <c r="F159" i="47"/>
  <c r="G159" i="47"/>
  <c r="R134" i="47" l="1"/>
  <c r="T134" i="47"/>
  <c r="T267" i="47"/>
  <c r="U267" i="47" s="1"/>
  <c r="O202" i="47"/>
  <c r="O203" i="47"/>
  <c r="T180" i="47"/>
  <c r="U180" i="47" s="1"/>
  <c r="O157" i="47"/>
  <c r="O159" i="47"/>
  <c r="J139" i="47"/>
  <c r="J138" i="47"/>
  <c r="I139" i="47"/>
  <c r="I137" i="47"/>
  <c r="K138" i="47"/>
  <c r="K137" i="47"/>
  <c r="O136" i="47"/>
  <c r="K141" i="47"/>
  <c r="J141" i="47"/>
  <c r="H141" i="47"/>
  <c r="I141" i="47"/>
  <c r="G141" i="47"/>
  <c r="F141" i="47"/>
  <c r="H140" i="47"/>
  <c r="O140" i="47" s="1"/>
  <c r="H139" i="47"/>
  <c r="H138" i="47"/>
  <c r="H137" i="47"/>
  <c r="G139" i="47"/>
  <c r="G137" i="47"/>
  <c r="F139" i="47"/>
  <c r="F137" i="47"/>
  <c r="O120" i="47"/>
  <c r="K101" i="47"/>
  <c r="H101" i="47"/>
  <c r="G101" i="47"/>
  <c r="F101" i="47"/>
  <c r="K100" i="47"/>
  <c r="H100" i="47"/>
  <c r="G100" i="47"/>
  <c r="F100" i="47"/>
  <c r="O89" i="47"/>
  <c r="O91" i="47"/>
  <c r="O103" i="47"/>
  <c r="O107" i="47"/>
  <c r="O108" i="47"/>
  <c r="S134" i="47" l="1"/>
  <c r="U134" i="47" s="1"/>
  <c r="O155" i="47"/>
  <c r="O101" i="47"/>
  <c r="O138" i="47"/>
  <c r="O141" i="47"/>
  <c r="O137" i="47"/>
  <c r="O139" i="47"/>
  <c r="O110" i="47"/>
  <c r="T120" i="47"/>
  <c r="O93" i="47"/>
  <c r="O109" i="47"/>
  <c r="O100" i="47"/>
  <c r="O92" i="47"/>
  <c r="R154" i="47" l="1"/>
  <c r="S154" i="47"/>
  <c r="U154" i="47" s="1"/>
  <c r="H69" i="47" l="1"/>
  <c r="O69" i="47" s="1"/>
  <c r="H68" i="47"/>
  <c r="O68" i="47" s="1"/>
  <c r="H67" i="47"/>
  <c r="O67" i="47" s="1"/>
  <c r="O66" i="47"/>
  <c r="O70" i="47"/>
  <c r="O71" i="47"/>
  <c r="H64" i="47"/>
  <c r="H59" i="47"/>
  <c r="H63" i="47"/>
  <c r="H62" i="47"/>
  <c r="H61" i="47"/>
  <c r="G61" i="47"/>
  <c r="G60" i="47"/>
  <c r="F61" i="47"/>
  <c r="F60" i="47"/>
  <c r="G64" i="47"/>
  <c r="F64" i="47"/>
  <c r="G55" i="47"/>
  <c r="G56" i="47"/>
  <c r="F46" i="47"/>
  <c r="G49" i="47"/>
  <c r="G48" i="47"/>
  <c r="G47" i="47"/>
  <c r="G46" i="47"/>
  <c r="F49" i="47"/>
  <c r="F48" i="47"/>
  <c r="F47" i="47"/>
  <c r="G52" i="47"/>
  <c r="F52" i="47"/>
  <c r="H52" i="47"/>
  <c r="H49" i="47"/>
  <c r="H51" i="47"/>
  <c r="H50" i="47"/>
  <c r="H43" i="47"/>
  <c r="G43" i="47"/>
  <c r="F43" i="47"/>
  <c r="H42" i="47"/>
  <c r="G42" i="47"/>
  <c r="F42" i="47"/>
  <c r="F41" i="47"/>
  <c r="H40" i="47"/>
  <c r="G40" i="47"/>
  <c r="F40" i="47"/>
  <c r="T70" i="47" l="1"/>
  <c r="O37" i="47" l="1"/>
  <c r="T37" i="47" s="1"/>
  <c r="O38" i="47"/>
  <c r="H36" i="47"/>
  <c r="H35" i="47"/>
  <c r="O35" i="47" s="1"/>
  <c r="H32" i="47"/>
  <c r="H31" i="47"/>
  <c r="H28" i="47"/>
  <c r="G28" i="47"/>
  <c r="F28" i="47"/>
  <c r="G27" i="47"/>
  <c r="G26" i="47"/>
  <c r="H24" i="47"/>
  <c r="G24" i="47"/>
  <c r="F24" i="47"/>
  <c r="H23" i="47"/>
  <c r="G23" i="47"/>
  <c r="F23" i="47"/>
  <c r="S37" i="47" l="1"/>
  <c r="U37" i="47" s="1"/>
  <c r="R37" i="47" l="1"/>
  <c r="N468" i="47" l="1"/>
  <c r="N434" i="47"/>
  <c r="N433" i="47" s="1"/>
  <c r="M468" i="47"/>
  <c r="M434" i="47"/>
  <c r="M433" i="47" s="1"/>
  <c r="L468" i="47"/>
  <c r="N460" i="47"/>
  <c r="O460" i="47" s="1"/>
  <c r="L427" i="47"/>
  <c r="O73" i="47"/>
  <c r="O72" i="47"/>
  <c r="S70" i="47" l="1"/>
  <c r="U70" i="47" s="1"/>
  <c r="O468" i="47"/>
  <c r="R458" i="47"/>
  <c r="S458" i="47"/>
  <c r="U458" i="47" s="1"/>
  <c r="O400" i="47"/>
  <c r="O434" i="47"/>
  <c r="L433" i="47"/>
  <c r="O433" i="47" s="1"/>
  <c r="O427" i="47"/>
  <c r="S468" i="47"/>
  <c r="S464" i="47" s="1"/>
  <c r="T468" i="47"/>
  <c r="T464" i="47" s="1"/>
  <c r="T400" i="47" l="1"/>
  <c r="R433" i="47"/>
  <c r="U464" i="47"/>
  <c r="T433" i="47"/>
  <c r="S400" i="47"/>
  <c r="R400" i="47"/>
  <c r="T427" i="47"/>
  <c r="U468" i="47"/>
  <c r="R70" i="47"/>
  <c r="J363" i="47"/>
  <c r="K363" i="47"/>
  <c r="I363" i="47"/>
  <c r="H363" i="47"/>
  <c r="G363" i="47"/>
  <c r="F363" i="47"/>
  <c r="O353" i="47"/>
  <c r="T353" i="47" s="1"/>
  <c r="O354" i="47"/>
  <c r="O355" i="47"/>
  <c r="O356" i="47"/>
  <c r="T393" i="47" l="1"/>
  <c r="T392" i="47" s="1"/>
  <c r="T391" i="47" s="1"/>
  <c r="S353" i="47"/>
  <c r="U353" i="47" s="1"/>
  <c r="S433" i="47"/>
  <c r="U433" i="47" s="1"/>
  <c r="S427" i="47"/>
  <c r="U427" i="47" s="1"/>
  <c r="R427" i="47"/>
  <c r="U400" i="47"/>
  <c r="I184" i="47"/>
  <c r="I175" i="47"/>
  <c r="O175" i="47" s="1"/>
  <c r="O171" i="47"/>
  <c r="T171" i="47" s="1"/>
  <c r="O172" i="47"/>
  <c r="O173" i="47"/>
  <c r="O174" i="47"/>
  <c r="S393" i="47" l="1"/>
  <c r="U393" i="47" s="1"/>
  <c r="S171" i="47"/>
  <c r="U171" i="47" s="1"/>
  <c r="R353" i="47"/>
  <c r="T176" i="47"/>
  <c r="O168" i="47"/>
  <c r="O169" i="47"/>
  <c r="O170" i="47"/>
  <c r="O177" i="47"/>
  <c r="K167" i="47"/>
  <c r="J167" i="47"/>
  <c r="I167" i="47"/>
  <c r="S392" i="47" l="1"/>
  <c r="S391" i="47" s="1"/>
  <c r="U391" i="47" s="1"/>
  <c r="R171" i="47"/>
  <c r="O167" i="47"/>
  <c r="K282" i="47"/>
  <c r="J282" i="47"/>
  <c r="I282" i="47"/>
  <c r="H282" i="47"/>
  <c r="G282" i="47"/>
  <c r="F282" i="47"/>
  <c r="O283" i="47"/>
  <c r="O288" i="47"/>
  <c r="T288" i="47" s="1"/>
  <c r="U392" i="47" l="1"/>
  <c r="T167" i="47"/>
  <c r="R167" i="47"/>
  <c r="O367" i="47"/>
  <c r="O366" i="47"/>
  <c r="O365" i="47"/>
  <c r="O364" i="47"/>
  <c r="O363" i="47"/>
  <c r="O362" i="47"/>
  <c r="O361" i="47"/>
  <c r="O360" i="47"/>
  <c r="O358" i="47"/>
  <c r="O357" i="47"/>
  <c r="O352" i="47"/>
  <c r="O351" i="47"/>
  <c r="O350" i="47"/>
  <c r="O349" i="47"/>
  <c r="O348" i="47"/>
  <c r="O347" i="47"/>
  <c r="O346" i="47"/>
  <c r="O345" i="47"/>
  <c r="O344" i="47"/>
  <c r="O343" i="47"/>
  <c r="O342" i="47"/>
  <c r="O341" i="47"/>
  <c r="O340" i="47"/>
  <c r="O339" i="47"/>
  <c r="O326" i="47"/>
  <c r="O325" i="47"/>
  <c r="O324" i="47"/>
  <c r="O323" i="47"/>
  <c r="O322" i="47"/>
  <c r="O321" i="47"/>
  <c r="T321" i="47" s="1"/>
  <c r="O315" i="47"/>
  <c r="O314" i="47"/>
  <c r="T314" i="47" s="1"/>
  <c r="O305" i="47"/>
  <c r="O304" i="47"/>
  <c r="O303" i="47"/>
  <c r="O302" i="47"/>
  <c r="O301" i="47"/>
  <c r="T301" i="47" s="1"/>
  <c r="O295" i="47"/>
  <c r="O294" i="47"/>
  <c r="O293" i="47"/>
  <c r="O292" i="47"/>
  <c r="O289" i="47"/>
  <c r="O282" i="47"/>
  <c r="T282" i="47" s="1"/>
  <c r="R288" i="47" l="1"/>
  <c r="S301" i="47"/>
  <c r="U301" i="47" s="1"/>
  <c r="S321" i="47"/>
  <c r="U321" i="47" s="1"/>
  <c r="S314" i="47"/>
  <c r="U314" i="47" s="1"/>
  <c r="R345" i="47"/>
  <c r="R293" i="47"/>
  <c r="R339" i="47"/>
  <c r="T358" i="47"/>
  <c r="S358" i="47"/>
  <c r="T357" i="47"/>
  <c r="S357" i="47"/>
  <c r="T345" i="47"/>
  <c r="T339" i="47"/>
  <c r="T360" i="47"/>
  <c r="S360" i="47"/>
  <c r="T361" i="47"/>
  <c r="S361" i="47"/>
  <c r="T362" i="47"/>
  <c r="S362" i="47"/>
  <c r="T363" i="47"/>
  <c r="S363" i="47"/>
  <c r="T364" i="47"/>
  <c r="S364" i="47"/>
  <c r="S365" i="47"/>
  <c r="T365" i="47"/>
  <c r="S366" i="47"/>
  <c r="T366" i="47"/>
  <c r="T293" i="47"/>
  <c r="T281" i="47" s="1"/>
  <c r="T367" i="47"/>
  <c r="S367" i="47"/>
  <c r="S167" i="47"/>
  <c r="U167" i="47" s="1"/>
  <c r="S359" i="47" l="1"/>
  <c r="U358" i="47"/>
  <c r="T359" i="47"/>
  <c r="U357" i="47"/>
  <c r="U367" i="47"/>
  <c r="S339" i="47"/>
  <c r="U339" i="47" s="1"/>
  <c r="S345" i="47"/>
  <c r="U345" i="47" s="1"/>
  <c r="R321" i="47"/>
  <c r="R301" i="47"/>
  <c r="R314" i="47"/>
  <c r="U366" i="47"/>
  <c r="U363" i="47"/>
  <c r="U365" i="47"/>
  <c r="S293" i="47"/>
  <c r="U293" i="47" s="1"/>
  <c r="S288" i="47"/>
  <c r="U288" i="47" s="1"/>
  <c r="S282" i="47"/>
  <c r="S281" i="47" s="1"/>
  <c r="R282" i="47"/>
  <c r="U361" i="47"/>
  <c r="U364" i="47"/>
  <c r="U362" i="47"/>
  <c r="U360" i="47"/>
  <c r="I273" i="47"/>
  <c r="H273" i="47"/>
  <c r="O252" i="47"/>
  <c r="O253" i="47"/>
  <c r="O254" i="47"/>
  <c r="O255" i="47"/>
  <c r="R252" i="47" l="1"/>
  <c r="U359" i="47"/>
  <c r="U282" i="47"/>
  <c r="U281" i="47"/>
  <c r="T280" i="47"/>
  <c r="T255" i="47"/>
  <c r="T252" i="47"/>
  <c r="G273" i="47"/>
  <c r="S280" i="47" l="1"/>
  <c r="U280" i="47" s="1"/>
  <c r="S255" i="47"/>
  <c r="U255" i="47" s="1"/>
  <c r="R255" i="47"/>
  <c r="S252" i="47"/>
  <c r="U252" i="47" s="1"/>
  <c r="H45" i="47"/>
  <c r="F273" i="47" l="1"/>
  <c r="I197" i="47" l="1"/>
  <c r="H197" i="47"/>
  <c r="G197" i="47"/>
  <c r="F197" i="47"/>
  <c r="O206" i="47"/>
  <c r="O207" i="47"/>
  <c r="I195" i="47"/>
  <c r="H195" i="47"/>
  <c r="G195" i="47"/>
  <c r="F195" i="47"/>
  <c r="O278" i="47" l="1"/>
  <c r="O277" i="47"/>
  <c r="O276" i="47"/>
  <c r="O275" i="47"/>
  <c r="O274" i="47"/>
  <c r="O273" i="47"/>
  <c r="O272" i="47"/>
  <c r="O271" i="47"/>
  <c r="O270" i="47"/>
  <c r="O266" i="47"/>
  <c r="O265" i="47"/>
  <c r="O264" i="47"/>
  <c r="O263" i="47"/>
  <c r="O268" i="47"/>
  <c r="O251" i="47"/>
  <c r="O250" i="47"/>
  <c r="O249" i="47"/>
  <c r="O248" i="47"/>
  <c r="O247" i="47"/>
  <c r="O246" i="47"/>
  <c r="O245" i="47"/>
  <c r="O244" i="47"/>
  <c r="O243" i="47"/>
  <c r="O242" i="47"/>
  <c r="T241" i="47"/>
  <c r="O228" i="47"/>
  <c r="O227" i="47"/>
  <c r="O226" i="47"/>
  <c r="O225" i="47"/>
  <c r="O224" i="47"/>
  <c r="O223" i="47"/>
  <c r="O220" i="47"/>
  <c r="O219" i="47"/>
  <c r="O218" i="47"/>
  <c r="O217" i="47"/>
  <c r="T217" i="47" s="1"/>
  <c r="O216" i="47"/>
  <c r="O215" i="47"/>
  <c r="O214" i="47"/>
  <c r="O213" i="47"/>
  <c r="O212" i="47"/>
  <c r="O211" i="47"/>
  <c r="O210" i="47"/>
  <c r="O209" i="47"/>
  <c r="O208" i="47"/>
  <c r="T208" i="47" s="1"/>
  <c r="O205" i="47"/>
  <c r="O204" i="47"/>
  <c r="O201" i="47"/>
  <c r="O200" i="47"/>
  <c r="O199" i="47"/>
  <c r="O198" i="47"/>
  <c r="O197" i="47"/>
  <c r="T197" i="47" s="1"/>
  <c r="O196" i="47"/>
  <c r="O195" i="47"/>
  <c r="T195" i="47" s="1"/>
  <c r="O191" i="47"/>
  <c r="O178" i="47"/>
  <c r="O179" i="47"/>
  <c r="R213" i="47" l="1"/>
  <c r="S208" i="47"/>
  <c r="U208" i="47" s="1"/>
  <c r="S217" i="47"/>
  <c r="U217" i="47" s="1"/>
  <c r="R197" i="47"/>
  <c r="R263" i="47"/>
  <c r="T272" i="47"/>
  <c r="S272" i="47"/>
  <c r="S274" i="47"/>
  <c r="T274" i="47"/>
  <c r="S271" i="47"/>
  <c r="T271" i="47"/>
  <c r="T275" i="47"/>
  <c r="S275" i="47"/>
  <c r="T276" i="47"/>
  <c r="S276" i="47"/>
  <c r="S270" i="47"/>
  <c r="T270" i="47"/>
  <c r="T273" i="47"/>
  <c r="S273" i="47"/>
  <c r="T277" i="47"/>
  <c r="S277" i="47"/>
  <c r="T278" i="47"/>
  <c r="S278" i="47"/>
  <c r="T263" i="47"/>
  <c r="T268" i="47"/>
  <c r="S268" i="47"/>
  <c r="R245" i="47"/>
  <c r="T245" i="47"/>
  <c r="R223" i="47"/>
  <c r="R241" i="47"/>
  <c r="T223" i="47"/>
  <c r="T213" i="47"/>
  <c r="T201" i="47"/>
  <c r="T204" i="47"/>
  <c r="R204" i="47"/>
  <c r="T191" i="47"/>
  <c r="S191" i="47"/>
  <c r="K186" i="47"/>
  <c r="J186" i="47"/>
  <c r="J161" i="47"/>
  <c r="J160" i="47" s="1"/>
  <c r="I186" i="47"/>
  <c r="I161" i="47"/>
  <c r="I160" i="47" s="1"/>
  <c r="H186" i="47"/>
  <c r="T194" i="47" l="1"/>
  <c r="T269" i="47"/>
  <c r="S269" i="47"/>
  <c r="S263" i="47"/>
  <c r="U263" i="47" s="1"/>
  <c r="U272" i="47"/>
  <c r="U276" i="47"/>
  <c r="U275" i="47"/>
  <c r="U268" i="47"/>
  <c r="U271" i="47"/>
  <c r="U277" i="47"/>
  <c r="U273" i="47"/>
  <c r="U274" i="47"/>
  <c r="U270" i="47"/>
  <c r="U278" i="47"/>
  <c r="S245" i="47"/>
  <c r="U245" i="47" s="1"/>
  <c r="S223" i="47"/>
  <c r="U223" i="47" s="1"/>
  <c r="R208" i="47"/>
  <c r="S241" i="47"/>
  <c r="U241" i="47" s="1"/>
  <c r="S213" i="47"/>
  <c r="U213" i="47" s="1"/>
  <c r="S197" i="47"/>
  <c r="U197" i="47" s="1"/>
  <c r="R217" i="47"/>
  <c r="S204" i="47"/>
  <c r="U204" i="47" s="1"/>
  <c r="S201" i="47"/>
  <c r="U201" i="47" s="1"/>
  <c r="R201" i="47"/>
  <c r="S195" i="47"/>
  <c r="R195" i="47"/>
  <c r="U191" i="47"/>
  <c r="R176" i="47"/>
  <c r="S176" i="47"/>
  <c r="U176" i="47" s="1"/>
  <c r="H161" i="47"/>
  <c r="H160" i="47" s="1"/>
  <c r="S194" i="47" l="1"/>
  <c r="U269" i="47"/>
  <c r="T193" i="47"/>
  <c r="U195" i="47"/>
  <c r="G186" i="47"/>
  <c r="F186" i="47"/>
  <c r="O186" i="47" s="1"/>
  <c r="T186" i="47" s="1"/>
  <c r="O121" i="47"/>
  <c r="J88" i="47"/>
  <c r="I88" i="47"/>
  <c r="K88" i="47"/>
  <c r="H88" i="47"/>
  <c r="F88" i="47"/>
  <c r="O190" i="47"/>
  <c r="T190" i="47" s="1"/>
  <c r="O189" i="47"/>
  <c r="T189" i="47" s="1"/>
  <c r="O188" i="47"/>
  <c r="T188" i="47" s="1"/>
  <c r="O187" i="47"/>
  <c r="T187" i="47" s="1"/>
  <c r="O185" i="47"/>
  <c r="T185" i="47" s="1"/>
  <c r="O184" i="47"/>
  <c r="T184" i="47" s="1"/>
  <c r="O183" i="47"/>
  <c r="T183" i="47" s="1"/>
  <c r="O181" i="47"/>
  <c r="O166" i="47"/>
  <c r="O165" i="47"/>
  <c r="O164" i="47"/>
  <c r="O163" i="47"/>
  <c r="O162" i="47"/>
  <c r="O161" i="47"/>
  <c r="O160" i="47"/>
  <c r="O133" i="47"/>
  <c r="O84" i="47"/>
  <c r="T84" i="47" s="1"/>
  <c r="O83" i="47"/>
  <c r="T83" i="47" s="1"/>
  <c r="O82" i="47"/>
  <c r="T82" i="47" s="1"/>
  <c r="O81" i="47"/>
  <c r="T81" i="47" s="1"/>
  <c r="O79" i="47"/>
  <c r="T79" i="47" s="1"/>
  <c r="O78" i="47"/>
  <c r="T78" i="47" s="1"/>
  <c r="T77" i="47"/>
  <c r="O20" i="47"/>
  <c r="O22" i="47"/>
  <c r="O23" i="47"/>
  <c r="O24" i="47"/>
  <c r="O25" i="47"/>
  <c r="O27" i="47"/>
  <c r="O29" i="47"/>
  <c r="O30" i="47"/>
  <c r="O31" i="47"/>
  <c r="O32" i="47"/>
  <c r="O36" i="47"/>
  <c r="O39" i="47"/>
  <c r="O40" i="47"/>
  <c r="O41" i="47"/>
  <c r="O42" i="47"/>
  <c r="O43" i="47"/>
  <c r="O46" i="47"/>
  <c r="O47" i="47"/>
  <c r="O48" i="47"/>
  <c r="O49" i="47"/>
  <c r="O50" i="47"/>
  <c r="O51" i="47"/>
  <c r="O52" i="47"/>
  <c r="O53" i="47"/>
  <c r="O54" i="47"/>
  <c r="O55" i="47"/>
  <c r="O56" i="47"/>
  <c r="O59" i="47"/>
  <c r="O60" i="47"/>
  <c r="O61" i="47"/>
  <c r="O62" i="47"/>
  <c r="O63" i="47"/>
  <c r="O64" i="47"/>
  <c r="O65" i="47"/>
  <c r="O74" i="47"/>
  <c r="O75" i="47"/>
  <c r="T75" i="47" s="1"/>
  <c r="R75" i="47"/>
  <c r="T182" i="47" l="1"/>
  <c r="S74" i="47"/>
  <c r="T74" i="47"/>
  <c r="R53" i="47"/>
  <c r="R39" i="47"/>
  <c r="T181" i="47"/>
  <c r="S181" i="47"/>
  <c r="T160" i="47"/>
  <c r="T136" i="47"/>
  <c r="O102" i="47"/>
  <c r="S120" i="47"/>
  <c r="U120" i="47" s="1"/>
  <c r="R120" i="47"/>
  <c r="O90" i="47"/>
  <c r="O99" i="47"/>
  <c r="O105" i="47"/>
  <c r="O104" i="47"/>
  <c r="O106" i="47"/>
  <c r="O88" i="47"/>
  <c r="T65" i="47"/>
  <c r="R65" i="47"/>
  <c r="T53" i="47"/>
  <c r="T39" i="47"/>
  <c r="T25" i="47"/>
  <c r="S190" i="47"/>
  <c r="U190" i="47" s="1"/>
  <c r="S84" i="47"/>
  <c r="U84" i="47" s="1"/>
  <c r="R83" i="47"/>
  <c r="R84" i="47"/>
  <c r="S75" i="47"/>
  <c r="U75" i="47" s="1"/>
  <c r="T102" i="47" l="1"/>
  <c r="R102" i="47"/>
  <c r="T90" i="47"/>
  <c r="S90" i="47"/>
  <c r="U90" i="47" s="1"/>
  <c r="U74" i="47"/>
  <c r="U181" i="47"/>
  <c r="S160" i="47"/>
  <c r="U160" i="47" s="1"/>
  <c r="R160" i="47"/>
  <c r="S136" i="47"/>
  <c r="U136" i="47" s="1"/>
  <c r="R136" i="47"/>
  <c r="T106" i="47"/>
  <c r="R106" i="47"/>
  <c r="T99" i="47"/>
  <c r="R99" i="47"/>
  <c r="T88" i="47"/>
  <c r="S53" i="47"/>
  <c r="U53" i="47" s="1"/>
  <c r="S65" i="47"/>
  <c r="U65" i="47" s="1"/>
  <c r="S39" i="47"/>
  <c r="U39" i="47" s="1"/>
  <c r="R190" i="47"/>
  <c r="S189" i="47"/>
  <c r="U189" i="47" s="1"/>
  <c r="R189" i="47"/>
  <c r="S83" i="47"/>
  <c r="U83" i="47" s="1"/>
  <c r="R90" i="47" l="1"/>
  <c r="S102" i="47"/>
  <c r="U102" i="47" s="1"/>
  <c r="S99" i="47"/>
  <c r="U99" i="47" s="1"/>
  <c r="S106" i="47"/>
  <c r="U106" i="47" s="1"/>
  <c r="S88" i="47"/>
  <c r="R88" i="47"/>
  <c r="S188" i="47"/>
  <c r="U188" i="47" s="1"/>
  <c r="R188" i="47"/>
  <c r="S82" i="47"/>
  <c r="U82" i="47" s="1"/>
  <c r="R82" i="47"/>
  <c r="U88" i="47" l="1"/>
  <c r="S187" i="47"/>
  <c r="U187" i="47" s="1"/>
  <c r="R187" i="47"/>
  <c r="R81" i="47"/>
  <c r="S81" i="47"/>
  <c r="U81" i="47" s="1"/>
  <c r="S186" i="47" l="1"/>
  <c r="U186" i="47" s="1"/>
  <c r="R186" i="47"/>
  <c r="S185" i="47" l="1"/>
  <c r="U185" i="47" s="1"/>
  <c r="R185" i="47"/>
  <c r="S184" i="47" l="1"/>
  <c r="U184" i="47" s="1"/>
  <c r="R184" i="47"/>
  <c r="S183" i="47" l="1"/>
  <c r="R183" i="47"/>
  <c r="S182" i="47" l="1"/>
  <c r="U182" i="47" s="1"/>
  <c r="U183" i="47"/>
  <c r="F80" i="47"/>
  <c r="O80" i="47" s="1"/>
  <c r="G45" i="47"/>
  <c r="F58" i="47"/>
  <c r="F45" i="47"/>
  <c r="O44" i="47" l="1"/>
  <c r="T44" i="47" s="1"/>
  <c r="O45" i="47"/>
  <c r="O57" i="47"/>
  <c r="O58" i="47"/>
  <c r="T80" i="47"/>
  <c r="T76" i="47" s="1"/>
  <c r="S80" i="47"/>
  <c r="S44" i="47" l="1"/>
  <c r="U44" i="47" s="1"/>
  <c r="R57" i="47"/>
  <c r="T57" i="47"/>
  <c r="U80" i="47"/>
  <c r="R80" i="47"/>
  <c r="O26" i="47"/>
  <c r="H21" i="47"/>
  <c r="G21" i="47"/>
  <c r="F21" i="47"/>
  <c r="H19" i="47"/>
  <c r="G19" i="47"/>
  <c r="F19" i="47"/>
  <c r="O19" i="47" s="1"/>
  <c r="S57" i="47" l="1"/>
  <c r="U57" i="47" s="1"/>
  <c r="R44" i="47"/>
  <c r="R25" i="47"/>
  <c r="S25" i="47"/>
  <c r="U25" i="47" s="1"/>
  <c r="O33" i="47"/>
  <c r="O21" i="47"/>
  <c r="O28" i="47"/>
  <c r="R19" i="47" l="1"/>
  <c r="T19" i="47"/>
  <c r="T33" i="47"/>
  <c r="R33" i="47"/>
  <c r="T28" i="47"/>
  <c r="T21" i="47"/>
  <c r="R21" i="47"/>
  <c r="S79" i="47"/>
  <c r="U79" i="47" s="1"/>
  <c r="R79" i="47"/>
  <c r="T18" i="47" l="1"/>
  <c r="S19" i="47"/>
  <c r="S33" i="47"/>
  <c r="U33" i="47" s="1"/>
  <c r="S28" i="47"/>
  <c r="U28" i="47" s="1"/>
  <c r="R28" i="47"/>
  <c r="S21" i="47"/>
  <c r="U21" i="47" s="1"/>
  <c r="S78" i="47"/>
  <c r="U78" i="47" s="1"/>
  <c r="R78" i="47"/>
  <c r="U19" i="47" l="1"/>
  <c r="S18" i="47"/>
  <c r="U18" i="47" s="1"/>
  <c r="T17" i="47"/>
  <c r="S77" i="47"/>
  <c r="S76" i="47" s="1"/>
  <c r="R77" i="47"/>
  <c r="U76" i="47" l="1"/>
  <c r="U77" i="47"/>
  <c r="S17" i="47" l="1"/>
  <c r="U194" i="47"/>
  <c r="U17" i="47" l="1"/>
  <c r="S193" i="47"/>
  <c r="U193" i="47" s="1"/>
  <c r="O131" i="47" l="1"/>
  <c r="O130" i="47"/>
  <c r="O129" i="47"/>
  <c r="R129" i="47" l="1"/>
  <c r="T129" i="47"/>
  <c r="T87" i="47" s="1"/>
  <c r="S129" i="47" l="1"/>
  <c r="S87" i="47" s="1"/>
  <c r="S86" i="47" s="1"/>
  <c r="S16" i="47" s="1"/>
  <c r="T86" i="47"/>
  <c r="U129" i="47" l="1"/>
  <c r="U87" i="47"/>
  <c r="U86" i="47"/>
  <c r="T16" i="47"/>
  <c r="T474" i="47" l="1"/>
  <c r="U474" i="47" s="1"/>
  <c r="U16" i="47"/>
</calcChain>
</file>

<file path=xl/sharedStrings.xml><?xml version="1.0" encoding="utf-8"?>
<sst xmlns="http://schemas.openxmlformats.org/spreadsheetml/2006/main" count="1489" uniqueCount="595">
  <si>
    <t>№ п/п</t>
  </si>
  <si>
    <t>Наименование</t>
  </si>
  <si>
    <t>Ед. изм.</t>
  </si>
  <si>
    <t>Итого</t>
  </si>
  <si>
    <t>м2</t>
  </si>
  <si>
    <t>Примечание</t>
  </si>
  <si>
    <t>Материалы</t>
  </si>
  <si>
    <t>СМР</t>
  </si>
  <si>
    <t>-заполняемые ячейки!</t>
  </si>
  <si>
    <t>Цена за единицу, руб. 
(в т.ч. НДС 20%)</t>
  </si>
  <si>
    <t>Общая стоимость, руб. 
(в т.ч. НДС 20%)</t>
  </si>
  <si>
    <t>Код</t>
  </si>
  <si>
    <t>1.1</t>
  </si>
  <si>
    <t>I</t>
  </si>
  <si>
    <t>Комплекс работ по устройству термофасадов надстроек на кровле</t>
  </si>
  <si>
    <t>Комплекс работ по устройству термофасадов за остекленными балконами</t>
  </si>
  <si>
    <t>пенополистирол экструзионный</t>
  </si>
  <si>
    <r>
      <t xml:space="preserve">подсистема </t>
    </r>
    <r>
      <rPr>
        <i/>
        <sz val="12"/>
        <color rgb="FF0000FF"/>
        <rFont val="Times New Roman"/>
        <family val="1"/>
        <charset val="204"/>
      </rPr>
      <t>_______________ (указать материал, производителя, марку)</t>
    </r>
  </si>
  <si>
    <t>минераловатная плита</t>
  </si>
  <si>
    <t>1.1.6</t>
  </si>
  <si>
    <t>1.1.10</t>
  </si>
  <si>
    <t>1.1.11</t>
  </si>
  <si>
    <t>1.1.13</t>
  </si>
  <si>
    <t>Комплекс работ по отделке нижних поверхностей балконных плит</t>
  </si>
  <si>
    <t>ВСЕГО затрат на выполнение полного комплекса работ:</t>
  </si>
  <si>
    <t>1.1.1</t>
  </si>
  <si>
    <t>1.1.4</t>
  </si>
  <si>
    <t>1.1.5</t>
  </si>
  <si>
    <t>1.1.7</t>
  </si>
  <si>
    <t>1.1.9</t>
  </si>
  <si>
    <t>шт</t>
  </si>
  <si>
    <t>кг</t>
  </si>
  <si>
    <t>Раствор цветной кладочный</t>
  </si>
  <si>
    <t>Норма расхода</t>
  </si>
  <si>
    <t>м3</t>
  </si>
  <si>
    <t>2.1</t>
  </si>
  <si>
    <t>2.2</t>
  </si>
  <si>
    <t>1.1.2</t>
  </si>
  <si>
    <t>1.1.3</t>
  </si>
  <si>
    <t>1.1.7.1</t>
  </si>
  <si>
    <t>1.1.8</t>
  </si>
  <si>
    <t>1.1.8.1</t>
  </si>
  <si>
    <t>1.1.8.2</t>
  </si>
  <si>
    <t>1.1.8.3</t>
  </si>
  <si>
    <t>1.1.9.1</t>
  </si>
  <si>
    <t>1.1.9.2</t>
  </si>
  <si>
    <t>1.1.10.1</t>
  </si>
  <si>
    <t>1.1.10.2</t>
  </si>
  <si>
    <t>1.1.11.1</t>
  </si>
  <si>
    <t>1.1.11.2</t>
  </si>
  <si>
    <t>1.1.11.3</t>
  </si>
  <si>
    <t>1.1.12</t>
  </si>
  <si>
    <t>1.1.12.1</t>
  </si>
  <si>
    <t>1.1.12.2</t>
  </si>
  <si>
    <t>1.1.12.3</t>
  </si>
  <si>
    <t>1.1.14</t>
  </si>
  <si>
    <t>1.1.8.4</t>
  </si>
  <si>
    <t>1.1.9.3</t>
  </si>
  <si>
    <t>камень стеновой Полигран М150</t>
  </si>
  <si>
    <t>Раствор кладочный М75</t>
  </si>
  <si>
    <t>Подземная автостоянка</t>
  </si>
  <si>
    <t>1.1.2.1</t>
  </si>
  <si>
    <t>1.1.3.1</t>
  </si>
  <si>
    <t>1.1.3.2</t>
  </si>
  <si>
    <t>1.1.4.1</t>
  </si>
  <si>
    <t>1.1.4.2</t>
  </si>
  <si>
    <t>1.1.4.3</t>
  </si>
  <si>
    <t>1.1.5.1</t>
  </si>
  <si>
    <t>1.1.5.2</t>
  </si>
  <si>
    <t>1.1.6.1</t>
  </si>
  <si>
    <t>1.1.7.2</t>
  </si>
  <si>
    <t>1.1.7.3</t>
  </si>
  <si>
    <t>1.1.7.4</t>
  </si>
  <si>
    <t>1.1.8.5</t>
  </si>
  <si>
    <t>1.1.8.6</t>
  </si>
  <si>
    <t>1.1.10.3</t>
  </si>
  <si>
    <t>1.1.10.4</t>
  </si>
  <si>
    <t>1.1.10.5</t>
  </si>
  <si>
    <t>1.1.10.6</t>
  </si>
  <si>
    <t>1.1.10.7</t>
  </si>
  <si>
    <t>1.1.11.4</t>
  </si>
  <si>
    <t>B 04.03.04</t>
  </si>
  <si>
    <t>Комплекс работ по устройству термофасадов: основной фасад выше уровня 8-го этажа, вставки у окон и витражей</t>
  </si>
  <si>
    <t xml:space="preserve">Комплекс работ по устройству штукатурных фасадов (без теплоизоляции) </t>
  </si>
  <si>
    <t xml:space="preserve">Комплекс работ по отделке нижних поверхностей эркеров, плит перекрытий над входами в здание </t>
  </si>
  <si>
    <t>Комплекс работ по отделке неутепленных внутренних поверхностей стен приямков</t>
  </si>
  <si>
    <t xml:space="preserve">м2 </t>
  </si>
  <si>
    <t>1.1.1.1</t>
  </si>
  <si>
    <t>1.1.5.3</t>
  </si>
  <si>
    <t>1.1.8.7</t>
  </si>
  <si>
    <t>Кирпич бетонный</t>
  </si>
  <si>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керамогранитом по бетонному кирпичу </t>
    </r>
  </si>
  <si>
    <r>
      <t xml:space="preserve">Комплекс работ по устройству </t>
    </r>
    <r>
      <rPr>
        <b/>
        <sz val="12"/>
        <rFont val="Times New Roman"/>
        <family val="1"/>
        <charset val="204"/>
      </rPr>
      <t>кладки из камня стенового</t>
    </r>
    <r>
      <rPr>
        <sz val="12"/>
        <rFont val="Times New Roman"/>
        <family val="1"/>
        <charset val="204"/>
      </rPr>
      <t xml:space="preserve"> толщ. 120 мм на участках под окнами, в простенках</t>
    </r>
    <r>
      <rPr>
        <b/>
        <sz val="12"/>
        <rFont val="Times New Roman"/>
        <family val="1"/>
        <charset val="204"/>
      </rPr>
      <t xml:space="preserve"> с теплоизоляцией</t>
    </r>
    <r>
      <rPr>
        <sz val="12"/>
        <rFont val="Times New Roman"/>
        <family val="1"/>
        <charset val="204"/>
      </rPr>
      <t xml:space="preserve"> (участках для последующего устройства штукатурного фасада)</t>
    </r>
  </si>
  <si>
    <t>на объекте: Многоквартирные жилые дома со встроенными помещениями, встроенно-пристроенными дошкольными образовательными учреждениями и встроенно-пристроенной подземной автостоянкой, 
по адресу: г. Санкт-Петербург, ул. Кубинская, кад. номер земельного участка 78:14:0007558:8114</t>
  </si>
  <si>
    <t>ЧТУ Заказчика</t>
  </si>
  <si>
    <t>Корпус 1.1</t>
  </si>
  <si>
    <t>Корпус 1.2</t>
  </si>
  <si>
    <t xml:space="preserve">Кол-во </t>
  </si>
  <si>
    <t>С1</t>
  </si>
  <si>
    <t>С2</t>
  </si>
  <si>
    <t>С3</t>
  </si>
  <si>
    <t>С4</t>
  </si>
  <si>
    <t>С5</t>
  </si>
  <si>
    <t>С6</t>
  </si>
  <si>
    <t>Корпус 1.1 (секции 1.1-1.3)</t>
  </si>
  <si>
    <t>Корпус 1.1 (секции 3.1-3.4)</t>
  </si>
  <si>
    <t>Комплекс работ по устройству наружной лицевой кладки, облицовке керамогранитом</t>
  </si>
  <si>
    <t xml:space="preserve">на выполнение полного комплекса работ по устройству фасадов </t>
  </si>
  <si>
    <t>Керамогранит Kerama Marazzi Про Стоун черный неполированный 600х600мм</t>
  </si>
  <si>
    <t xml:space="preserve">без учета окрытия приямков, где предусмотрен откатной козырек </t>
  </si>
  <si>
    <t>Кирпич керамический лицевой с утолщенной стенкой Винзер Айсберг гладкий 250х85х65мм белый</t>
  </si>
  <si>
    <t>Кирпич керамический лицевой Konigstein Гессен Вайн фактурный 250х85х65мм красный пестрый</t>
  </si>
  <si>
    <t>Кирпич керамический лицевой Konigstein Уэльс Эдельграу фактурный 250х85х65мм серый</t>
  </si>
  <si>
    <t>Кирпич клинкерный фасадный ЛСР Рейкьявик матовый 250х85х65мм черный</t>
  </si>
  <si>
    <t>Кирпич клинкерный фасадный ЛСР Берген гладкий 250х85х65мм черно- серебристый (20%)</t>
  </si>
  <si>
    <t>Кирпич клинкерный фасадный ЛСР Эльфюс гладкий 250х85х65мм серебристый (80%)</t>
  </si>
  <si>
    <t>Кирпич керамический лицевой Konigstein Уэльс Ковентри фактурный 250х85х65мм серый пестрый</t>
  </si>
  <si>
    <t>Кирпич керамический лицевой ModFormat Эгерсунн рельефный 290х85х50мм бежевый</t>
  </si>
  <si>
    <t xml:space="preserve">Комплекс работ по отделке межбалконных перегородок и ограждающих конструкций </t>
  </si>
  <si>
    <t xml:space="preserve">Комплекс работ по отделке торцов плит перекрытий с теплоизоляцией </t>
  </si>
  <si>
    <t>Комплекс работ по отделке торцов плит перекрытий (без теплоизоляции)</t>
  </si>
  <si>
    <t>м.пог.</t>
  </si>
  <si>
    <t xml:space="preserve">в т.ч. потолки лоджий, последних этажей </t>
  </si>
  <si>
    <t xml:space="preserve">в зоне дверных, витражных проемов </t>
  </si>
  <si>
    <t xml:space="preserve">Металлическая подсистема </t>
  </si>
  <si>
    <r>
      <t xml:space="preserve">Стекло закаленнное толщ.10мм </t>
    </r>
    <r>
      <rPr>
        <i/>
        <sz val="12"/>
        <color rgb="FF0000FF"/>
        <rFont val="Times New Roman"/>
        <family val="1"/>
        <charset val="204"/>
      </rPr>
      <t xml:space="preserve"> _______________ (указать материал, производителя, марку)</t>
    </r>
  </si>
  <si>
    <t xml:space="preserve">Комплекс работ по устройству кровли козырька главной входной группы </t>
  </si>
  <si>
    <r>
      <t>Металлические кассеты из оцинкованной стали</t>
    </r>
    <r>
      <rPr>
        <i/>
        <sz val="12"/>
        <color rgb="FF0000FF"/>
        <rFont val="Times New Roman"/>
        <family val="1"/>
        <charset val="204"/>
      </rPr>
      <t>_______________ (указать материал, производителя, марку)</t>
    </r>
  </si>
  <si>
    <t xml:space="preserve">Раствор цветной кладочный </t>
  </si>
  <si>
    <t xml:space="preserve">ХЦЛ тлщ.10мм </t>
  </si>
  <si>
    <r>
      <t xml:space="preserve">Металлические линеарные панели </t>
    </r>
    <r>
      <rPr>
        <i/>
        <sz val="12"/>
        <color rgb="FF0000FF"/>
        <rFont val="Times New Roman"/>
        <family val="1"/>
        <charset val="204"/>
      </rPr>
      <t>_______________ (указать материал, производителя, марку)</t>
    </r>
  </si>
  <si>
    <t>тип стен 2.5
 1 этаж ДОО, КВОП</t>
  </si>
  <si>
    <r>
      <t xml:space="preserve">Комплекс работ по устройству фасадов с облицовкой керамическим кирпичом толщ. 85 мм с опиранием на плиту перекрытия </t>
    </r>
    <r>
      <rPr>
        <b/>
        <sz val="12"/>
        <rFont val="Times New Roman"/>
        <family val="1"/>
        <charset val="204"/>
      </rPr>
      <t>(с теплоизоляцией)</t>
    </r>
  </si>
  <si>
    <r>
      <t>Комплекс работ по устройству</t>
    </r>
    <r>
      <rPr>
        <b/>
        <sz val="12"/>
        <rFont val="Times New Roman"/>
        <family val="1"/>
        <charset val="204"/>
      </rPr>
      <t xml:space="preserve"> цоколя</t>
    </r>
    <r>
      <rPr>
        <sz val="12"/>
        <rFont val="Times New Roman"/>
        <family val="1"/>
        <charset val="204"/>
      </rPr>
      <t xml:space="preserve"> в </t>
    </r>
    <r>
      <rPr>
        <b/>
        <u/>
        <sz val="12"/>
        <rFont val="Times New Roman"/>
        <family val="1"/>
        <charset val="204"/>
      </rPr>
      <t>уровне благоустройства</t>
    </r>
    <r>
      <rPr>
        <b/>
        <sz val="12"/>
        <rFont val="Times New Roman"/>
        <family val="1"/>
        <charset val="204"/>
      </rPr>
      <t xml:space="preserve"> </t>
    </r>
    <r>
      <rPr>
        <sz val="12"/>
        <rFont val="Times New Roman"/>
        <family val="1"/>
        <charset val="204"/>
      </rPr>
      <t xml:space="preserve">с облицовкой бетонным кирпичом толщ. 120 мм с опиранием на плиту перекрытия, </t>
    </r>
    <r>
      <rPr>
        <b/>
        <sz val="12"/>
        <rFont val="Times New Roman"/>
        <family val="1"/>
        <charset val="204"/>
      </rPr>
      <t>с теплоизоляцией</t>
    </r>
  </si>
  <si>
    <r>
      <t xml:space="preserve">Комплекс работ по устройству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 120 мм с опиранием на плиту перекрытия, </t>
    </r>
    <r>
      <rPr>
        <b/>
        <sz val="12"/>
        <color theme="1"/>
        <rFont val="Times New Roman"/>
        <family val="1"/>
        <charset val="204"/>
      </rPr>
      <t>с теплоизоляцией</t>
    </r>
  </si>
  <si>
    <t xml:space="preserve">Кирпич керамический лицевой Konigstein Гессен Вайн фактурный 250х85х65мм красный пестрый </t>
  </si>
  <si>
    <r>
      <t xml:space="preserve">Комплекс работ по облицовке </t>
    </r>
    <r>
      <rPr>
        <b/>
        <sz val="12"/>
        <color theme="1"/>
        <rFont val="Times New Roman"/>
        <family val="1"/>
        <charset val="204"/>
      </rPr>
      <t xml:space="preserve">цоколя </t>
    </r>
    <r>
      <rPr>
        <sz val="12"/>
        <color theme="1"/>
        <rFont val="Times New Roman"/>
        <family val="1"/>
        <charset val="204"/>
      </rPr>
      <t xml:space="preserve">керамогранитом </t>
    </r>
  </si>
  <si>
    <t xml:space="preserve">рампы, вентшахты на кровле автостоянки </t>
  </si>
  <si>
    <r>
      <t xml:space="preserve">Комплекс работ по устройству </t>
    </r>
    <r>
      <rPr>
        <b/>
        <sz val="12"/>
        <rFont val="Times New Roman"/>
        <family val="1"/>
        <charset val="204"/>
      </rPr>
      <t>фасадов</t>
    </r>
    <r>
      <rPr>
        <sz val="12"/>
        <rFont val="Times New Roman"/>
        <family val="1"/>
        <charset val="204"/>
      </rPr>
      <t xml:space="preserve"> с облицовкой керамическим кирпичом толщ. 85 мм, с опиранием на плиту перекрытия, </t>
    </r>
    <r>
      <rPr>
        <b/>
        <sz val="12"/>
        <rFont val="Times New Roman"/>
        <family val="1"/>
        <charset val="204"/>
      </rPr>
      <t xml:space="preserve">без теплоизоляции </t>
    </r>
  </si>
  <si>
    <r>
      <t xml:space="preserve">Комплекс работ по устройству вентшахт с облицовкой керамическим кирпичом толщ. 85 мм, с опиранием на плиту перекрытия, </t>
    </r>
    <r>
      <rPr>
        <b/>
        <sz val="12"/>
        <rFont val="Times New Roman"/>
        <family val="1"/>
        <charset val="204"/>
      </rPr>
      <t>с теплоизоляцией</t>
    </r>
  </si>
  <si>
    <r>
      <t xml:space="preserve">Комплекс работ по устройству </t>
    </r>
    <r>
      <rPr>
        <b/>
        <sz val="12"/>
        <rFont val="Times New Roman"/>
        <family val="1"/>
        <charset val="204"/>
      </rPr>
      <t>цоколя в уровне благоустройства</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</si>
  <si>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</si>
  <si>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</si>
  <si>
    <r>
      <t xml:space="preserve">Комплекс работ по устройству </t>
    </r>
    <r>
      <rPr>
        <b/>
        <sz val="12"/>
        <rFont val="Times New Roman"/>
        <family val="1"/>
        <charset val="204"/>
      </rPr>
      <t>фасадов</t>
    </r>
    <r>
      <rPr>
        <sz val="12"/>
        <rFont val="Times New Roman"/>
        <family val="1"/>
        <charset val="204"/>
      </rPr>
      <t xml:space="preserve"> с облицовкой керамическим кирпичом толщ. 85 мм с опиранием на плиту перекрытия, </t>
    </r>
    <r>
      <rPr>
        <b/>
        <sz val="12"/>
        <rFont val="Times New Roman"/>
        <family val="1"/>
        <charset val="204"/>
      </rPr>
      <t>без теплоизоляции</t>
    </r>
  </si>
  <si>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с опиранием на плиту перекрытия</t>
    </r>
    <r>
      <rPr>
        <b/>
        <sz val="12"/>
        <rFont val="Times New Roman"/>
        <family val="1"/>
        <charset val="204"/>
      </rPr>
      <t xml:space="preserve"> (с теплоизоляцией)</t>
    </r>
  </si>
  <si>
    <r>
      <t xml:space="preserve">Комплекс работ по устройству </t>
    </r>
    <r>
      <rPr>
        <b/>
        <sz val="12"/>
        <rFont val="Times New Roman"/>
        <family val="1"/>
        <charset val="204"/>
      </rPr>
      <t>фасадов</t>
    </r>
    <r>
      <rPr>
        <sz val="12"/>
        <rFont val="Times New Roman"/>
        <family val="1"/>
        <charset val="204"/>
      </rPr>
      <t xml:space="preserve"> с облицовкой керамическим кирпичом толщ. 85 мм 
</t>
    </r>
    <r>
      <rPr>
        <b/>
        <sz val="12"/>
        <rFont val="Times New Roman"/>
        <family val="1"/>
        <charset val="204"/>
      </rPr>
      <t>3D кладка на подсистеме, без теплоизоляции</t>
    </r>
  </si>
  <si>
    <r>
      <t xml:space="preserve">Комплекс работ по устройству </t>
    </r>
    <r>
      <rPr>
        <b/>
        <sz val="12"/>
        <rFont val="Times New Roman"/>
        <family val="1"/>
        <charset val="204"/>
      </rPr>
      <t>фасадов</t>
    </r>
    <r>
      <rPr>
        <sz val="12"/>
        <rFont val="Times New Roman"/>
        <family val="1"/>
        <charset val="204"/>
      </rPr>
      <t xml:space="preserve"> с облицовкой керамическим кирпичом толщ. 85 мм 
</t>
    </r>
    <r>
      <rPr>
        <b/>
        <sz val="12"/>
        <rFont val="Times New Roman"/>
        <family val="1"/>
        <charset val="204"/>
      </rPr>
      <t>3D кладка на подсистеме, с теплоизоляцией</t>
    </r>
  </si>
  <si>
    <r>
      <t xml:space="preserve">Комплекс работ по устройству </t>
    </r>
    <r>
      <rPr>
        <b/>
        <sz val="12"/>
        <rFont val="Times New Roman"/>
        <family val="1"/>
        <charset val="204"/>
      </rPr>
      <t>фасадов</t>
    </r>
    <r>
      <rPr>
        <sz val="12"/>
        <rFont val="Times New Roman"/>
        <family val="1"/>
        <charset val="204"/>
      </rPr>
      <t xml:space="preserve"> с облицовкой керамическим кирпичом толщ. 85 мм 
кладка</t>
    </r>
    <r>
      <rPr>
        <b/>
        <sz val="12"/>
        <rFont val="Times New Roman"/>
        <family val="1"/>
        <charset val="204"/>
      </rPr>
      <t xml:space="preserve"> на подсистеме с креплением к витражу </t>
    </r>
  </si>
  <si>
    <r>
      <t xml:space="preserve">Комплекс работ по устройству </t>
    </r>
    <r>
      <rPr>
        <b/>
        <sz val="12"/>
        <rFont val="Times New Roman"/>
        <family val="1"/>
        <charset val="204"/>
      </rPr>
      <t xml:space="preserve">подвесных потолков в арках, </t>
    </r>
    <r>
      <rPr>
        <sz val="12"/>
        <rFont val="Times New Roman"/>
        <family val="1"/>
        <charset val="204"/>
      </rPr>
      <t>с теплоизоляцией</t>
    </r>
  </si>
  <si>
    <t xml:space="preserve">в зоне лоджий, балконов </t>
  </si>
  <si>
    <t>1.1.2.2</t>
  </si>
  <si>
    <t>1.1.2.3</t>
  </si>
  <si>
    <t>1.1.4.4</t>
  </si>
  <si>
    <t>1.1.8.8</t>
  </si>
  <si>
    <t xml:space="preserve">Комплекс работ по отделке нижних поверхностей эркеров, плит перекрытий 1го этажа </t>
  </si>
  <si>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керамогранитом </t>
    </r>
    <r>
      <rPr>
        <b/>
        <sz val="12"/>
        <color theme="1"/>
        <rFont val="Times New Roman"/>
        <family val="1"/>
        <charset val="204"/>
      </rPr>
      <t xml:space="preserve">на подсистеме </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</si>
  <si>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керамогранитом </t>
    </r>
    <r>
      <rPr>
        <b/>
        <sz val="12"/>
        <color theme="1"/>
        <rFont val="Times New Roman"/>
        <family val="1"/>
        <charset val="204"/>
      </rPr>
      <t xml:space="preserve">на подсистеме </t>
    </r>
  </si>
  <si>
    <r>
      <t xml:space="preserve">Комплекс работ по устройству </t>
    </r>
    <r>
      <rPr>
        <b/>
        <sz val="12"/>
        <rFont val="Times New Roman"/>
        <family val="1"/>
        <charset val="204"/>
      </rPr>
      <t>козырьков входных групп</t>
    </r>
  </si>
  <si>
    <t>1.2</t>
  </si>
  <si>
    <t>2.1.1</t>
  </si>
  <si>
    <t>2.2.2</t>
  </si>
  <si>
    <t>2.1.1.1</t>
  </si>
  <si>
    <t>2.1.2</t>
  </si>
  <si>
    <t>2.1.2.1</t>
  </si>
  <si>
    <t>2.1.2.2</t>
  </si>
  <si>
    <t>2.1.2.3</t>
  </si>
  <si>
    <t>2.2.4</t>
  </si>
  <si>
    <t>4.1.10.1</t>
  </si>
  <si>
    <t>2.1.12</t>
  </si>
  <si>
    <t>2.1.12.1</t>
  </si>
  <si>
    <t>2.1.13</t>
  </si>
  <si>
    <t>2.1.13.1</t>
  </si>
  <si>
    <t>2.1.13.2</t>
  </si>
  <si>
    <t>2.1.13.3</t>
  </si>
  <si>
    <t>2.1.14</t>
  </si>
  <si>
    <t>2.1.15.1</t>
  </si>
  <si>
    <t>2.1.15.2</t>
  </si>
  <si>
    <t>2.1.15.3</t>
  </si>
  <si>
    <t>2.1.16</t>
  </si>
  <si>
    <t>2.1.17</t>
  </si>
  <si>
    <t>2.2.1</t>
  </si>
  <si>
    <t>2.2.3</t>
  </si>
  <si>
    <t>2.2.5</t>
  </si>
  <si>
    <t>2.2.6</t>
  </si>
  <si>
    <t>2.2.7</t>
  </si>
  <si>
    <t>2.2.8</t>
  </si>
  <si>
    <t>2.2.9</t>
  </si>
  <si>
    <t>1.2.1</t>
  </si>
  <si>
    <t>1.2.2</t>
  </si>
  <si>
    <t>1.2.3</t>
  </si>
  <si>
    <t>1.2.4</t>
  </si>
  <si>
    <t>1.2.5</t>
  </si>
  <si>
    <t>1.2.6</t>
  </si>
  <si>
    <t>1.2.7</t>
  </si>
  <si>
    <t>1.2.8</t>
  </si>
  <si>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с опиранием на плиту перекрытия,</t>
    </r>
    <r>
      <rPr>
        <b/>
        <sz val="12"/>
        <rFont val="Times New Roman"/>
        <family val="1"/>
        <charset val="204"/>
      </rPr>
      <t xml:space="preserve"> с теплоизоляцией</t>
    </r>
  </si>
  <si>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t>
    </r>
    <r>
      <rPr>
        <b/>
        <sz val="12"/>
        <rFont val="Times New Roman"/>
        <family val="1"/>
        <charset val="204"/>
      </rPr>
      <t>3D кладка на подсистеме, без теплоизоляции</t>
    </r>
  </si>
  <si>
    <r>
      <t xml:space="preserve">Комплекс работ по устройству фасадов с облицовкой керамическим кирпичом толщ. 85 мм 
</t>
    </r>
    <r>
      <rPr>
        <b/>
        <sz val="12"/>
        <rFont val="Times New Roman"/>
        <family val="1"/>
        <charset val="204"/>
      </rPr>
      <t>3D кладка на подсистеме, с теплоизоляцией</t>
    </r>
  </si>
  <si>
    <r>
      <t xml:space="preserve">Комплекс работ по устройству </t>
    </r>
    <r>
      <rPr>
        <b/>
        <sz val="12"/>
        <rFont val="Times New Roman"/>
        <family val="1"/>
        <charset val="204"/>
      </rPr>
      <t xml:space="preserve">межбалконных перегородок </t>
    </r>
  </si>
  <si>
    <t>3.1</t>
  </si>
  <si>
    <t>3.2</t>
  </si>
  <si>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с опиранием на плиту перекрытия</t>
    </r>
    <r>
      <rPr>
        <b/>
        <sz val="12"/>
        <rFont val="Times New Roman"/>
        <family val="1"/>
        <charset val="204"/>
      </rPr>
      <t>, с теплоизоляцией</t>
    </r>
  </si>
  <si>
    <t>2.1.15</t>
  </si>
  <si>
    <t>2.1.14.1</t>
  </si>
  <si>
    <t>2.1.14.2</t>
  </si>
  <si>
    <t>2.1.14.3</t>
  </si>
  <si>
    <t>3.1.1</t>
  </si>
  <si>
    <t>3.1.1.1</t>
  </si>
  <si>
    <t>3.1.2</t>
  </si>
  <si>
    <t>3.1.2.1</t>
  </si>
  <si>
    <t>3.1.2.2</t>
  </si>
  <si>
    <t>3.1.2.3</t>
  </si>
  <si>
    <t>3.1.3</t>
  </si>
  <si>
    <t>3.1.3.1</t>
  </si>
  <si>
    <t>3.1.3.2</t>
  </si>
  <si>
    <t>3.1.4</t>
  </si>
  <si>
    <t>3.1.7</t>
  </si>
  <si>
    <t>3.1.4.1</t>
  </si>
  <si>
    <t>3.1.4.2</t>
  </si>
  <si>
    <t>3.1.4.3</t>
  </si>
  <si>
    <r>
      <t xml:space="preserve">Комплекс работ по устройству </t>
    </r>
    <r>
      <rPr>
        <b/>
        <sz val="12"/>
        <color theme="1"/>
        <rFont val="Times New Roman"/>
        <family val="1"/>
        <charset val="204"/>
      </rPr>
      <t xml:space="preserve">цоколя </t>
    </r>
    <r>
      <rPr>
        <sz val="12"/>
        <color theme="1"/>
        <rFont val="Times New Roman"/>
        <family val="1"/>
        <charset val="204"/>
      </rPr>
      <t xml:space="preserve">с облицовкой бетонным кирпичом толщ.120мм, с опиранием на плиту (монолитный зуб), </t>
    </r>
    <r>
      <rPr>
        <b/>
        <sz val="12"/>
        <color theme="1"/>
        <rFont val="Times New Roman"/>
        <family val="1"/>
        <charset val="204"/>
      </rPr>
      <t>без теплоизоляции</t>
    </r>
  </si>
  <si>
    <t>3.1.5</t>
  </si>
  <si>
    <t>3.1.5.1</t>
  </si>
  <si>
    <t>3.1.6.1</t>
  </si>
  <si>
    <t>3.1.5.2</t>
  </si>
  <si>
    <t>3.1.5.3</t>
  </si>
  <si>
    <t>3.1.5.4</t>
  </si>
  <si>
    <t>3.1.6</t>
  </si>
  <si>
    <t>3.1.6.2</t>
  </si>
  <si>
    <t>3.1.6.3</t>
  </si>
  <si>
    <t>3.1.7.1</t>
  </si>
  <si>
    <t>3.1.7.2</t>
  </si>
  <si>
    <t>3.1.7.3</t>
  </si>
  <si>
    <t>3.1.8</t>
  </si>
  <si>
    <t>3.2.3</t>
  </si>
  <si>
    <t>3.2.9</t>
  </si>
  <si>
    <t>3.1.8.1</t>
  </si>
  <si>
    <t>3.1.9</t>
  </si>
  <si>
    <t>3.1.9.1</t>
  </si>
  <si>
    <t>3.1.9.2</t>
  </si>
  <si>
    <t>3.1.9.3</t>
  </si>
  <si>
    <t>3.1.9.4</t>
  </si>
  <si>
    <t>3.1.9.5</t>
  </si>
  <si>
    <t>3.1.10</t>
  </si>
  <si>
    <t>3.1.10.1</t>
  </si>
  <si>
    <t>3.1.10.2</t>
  </si>
  <si>
    <t>3.1.10.3</t>
  </si>
  <si>
    <t>3.1.10.4</t>
  </si>
  <si>
    <t>3.1.10.5</t>
  </si>
  <si>
    <t>3.1.10.6</t>
  </si>
  <si>
    <t>3.1.11</t>
  </si>
  <si>
    <t>3.1.11.1</t>
  </si>
  <si>
    <t>3.1.11.2</t>
  </si>
  <si>
    <t>3.1.11.3</t>
  </si>
  <si>
    <t>3.1.12</t>
  </si>
  <si>
    <t>3.1.12.1</t>
  </si>
  <si>
    <t>3.1.12.2</t>
  </si>
  <si>
    <t>3.1.12.3</t>
  </si>
  <si>
    <t>3.1.13</t>
  </si>
  <si>
    <t>3.1.13.1</t>
  </si>
  <si>
    <t>3.1.13.2</t>
  </si>
  <si>
    <t>3.1.14</t>
  </si>
  <si>
    <t>3.1.15</t>
  </si>
  <si>
    <t>3.1.14.1</t>
  </si>
  <si>
    <t>3.1.14.2</t>
  </si>
  <si>
    <t>3.1.15.1</t>
  </si>
  <si>
    <t>3.1.15.2</t>
  </si>
  <si>
    <t>3.1.15.3</t>
  </si>
  <si>
    <t>3.1.16</t>
  </si>
  <si>
    <t>3.1.16.1</t>
  </si>
  <si>
    <t>3.1.16.2</t>
  </si>
  <si>
    <t>3.1.16.3</t>
  </si>
  <si>
    <t>3.1.17</t>
  </si>
  <si>
    <t>3.1.18</t>
  </si>
  <si>
    <t>4.1</t>
  </si>
  <si>
    <t>4.1.1</t>
  </si>
  <si>
    <t>4.1.1.1</t>
  </si>
  <si>
    <t>4.1.2</t>
  </si>
  <si>
    <t>4.1.2.1</t>
  </si>
  <si>
    <t>4.1.2.2</t>
  </si>
  <si>
    <t>4.1.2.3</t>
  </si>
  <si>
    <t>4.1.3</t>
  </si>
  <si>
    <t>4.1.3.1</t>
  </si>
  <si>
    <t>4.1.3.2</t>
  </si>
  <si>
    <t>4.1.4</t>
  </si>
  <si>
    <t>4.1.4.1</t>
  </si>
  <si>
    <t>4.1.4.2</t>
  </si>
  <si>
    <t>4.1.4.3</t>
  </si>
  <si>
    <t>4.1.4.4</t>
  </si>
  <si>
    <t>4.1.5</t>
  </si>
  <si>
    <t>4.1.5.1</t>
  </si>
  <si>
    <t>4.1.5.2</t>
  </si>
  <si>
    <t>4.1.5.3</t>
  </si>
  <si>
    <t>4.1.6.1</t>
  </si>
  <si>
    <t>4.1.6.2</t>
  </si>
  <si>
    <t>4.1.6.3</t>
  </si>
  <si>
    <t>4.1.7</t>
  </si>
  <si>
    <t>4.1.7.1</t>
  </si>
  <si>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</si>
  <si>
    <t>4.1.8</t>
  </si>
  <si>
    <t>4.1.8.1</t>
  </si>
  <si>
    <t>4.1.8.2</t>
  </si>
  <si>
    <t>4.1.8.3</t>
  </si>
  <si>
    <t>4.1.8.4</t>
  </si>
  <si>
    <t>4.1.9</t>
  </si>
  <si>
    <t>4.1.9.1</t>
  </si>
  <si>
    <t>4.1.10</t>
  </si>
  <si>
    <t>4.1.10.2</t>
  </si>
  <si>
    <t>4.1.10.3</t>
  </si>
  <si>
    <t>4.1.10.4</t>
  </si>
  <si>
    <t>4.1.11</t>
  </si>
  <si>
    <t>4.1.11.1</t>
  </si>
  <si>
    <t>4.1.11.2</t>
  </si>
  <si>
    <t>4.1.11.3</t>
  </si>
  <si>
    <t>4.1.11.4</t>
  </si>
  <si>
    <t>4.1.11.5</t>
  </si>
  <si>
    <t>4.1.12</t>
  </si>
  <si>
    <t>4.1.12.1</t>
  </si>
  <si>
    <t>4.1.12.2</t>
  </si>
  <si>
    <t>4.1.12.3</t>
  </si>
  <si>
    <t>4.1.13</t>
  </si>
  <si>
    <t>4.1.14</t>
  </si>
  <si>
    <r>
      <t xml:space="preserve">Комплекс работ по устройству </t>
    </r>
    <r>
      <rPr>
        <b/>
        <sz val="12"/>
        <rFont val="Times New Roman"/>
        <family val="1"/>
        <charset val="204"/>
      </rPr>
      <t>кладки из камня стенового</t>
    </r>
    <r>
      <rPr>
        <sz val="12"/>
        <rFont val="Times New Roman"/>
        <family val="1"/>
        <charset val="204"/>
      </rPr>
      <t xml:space="preserve"> толщ. 120 мм на участках под окнами</t>
    </r>
    <r>
      <rPr>
        <b/>
        <sz val="12"/>
        <rFont val="Times New Roman"/>
        <family val="1"/>
        <charset val="204"/>
      </rPr>
      <t xml:space="preserve"> с теплоизоляцией</t>
    </r>
    <r>
      <rPr>
        <sz val="12"/>
        <rFont val="Times New Roman"/>
        <family val="1"/>
        <charset val="204"/>
      </rPr>
      <t xml:space="preserve"> (участках для последующего устройства штукатурного фасада)</t>
    </r>
  </si>
  <si>
    <t>4.2</t>
  </si>
  <si>
    <t>4.2.1</t>
  </si>
  <si>
    <t>4.2.2</t>
  </si>
  <si>
    <t>4.2.3</t>
  </si>
  <si>
    <t>4.2.4</t>
  </si>
  <si>
    <t>4.2.5</t>
  </si>
  <si>
    <t>4.2.6</t>
  </si>
  <si>
    <t>4.2.7</t>
  </si>
  <si>
    <t>4.2.8</t>
  </si>
  <si>
    <t>5.1</t>
  </si>
  <si>
    <t>5.2</t>
  </si>
  <si>
    <t>5.2.1</t>
  </si>
  <si>
    <t>5.2.2</t>
  </si>
  <si>
    <t>Комплекс работ по устройству термофасадов потолков рампы</t>
  </si>
  <si>
    <r>
      <t xml:space="preserve">Комплекс работ по облицовке </t>
    </r>
    <r>
      <rPr>
        <b/>
        <sz val="12"/>
        <color theme="1"/>
        <rFont val="Times New Roman"/>
        <family val="1"/>
        <charset val="204"/>
      </rPr>
      <t>цоколя и спусков в подвал (автостоянку</t>
    </r>
    <r>
      <rPr>
        <sz val="12"/>
        <color theme="1"/>
        <rFont val="Times New Roman"/>
        <family val="1"/>
        <charset val="204"/>
      </rPr>
      <t xml:space="preserve">) керамогранитом по бетонному кирпичу </t>
    </r>
  </si>
  <si>
    <r>
      <t xml:space="preserve">Комплекс работ по устройству фасадов с облицовкой керамическим кирпичом толщ. 85 мм 
</t>
    </r>
    <r>
      <rPr>
        <b/>
        <sz val="12"/>
        <rFont val="Times New Roman"/>
        <family val="1"/>
        <charset val="204"/>
      </rPr>
      <t>3D кладка на подсистеме, без теплоизоляции</t>
    </r>
  </si>
  <si>
    <t>5.1.1</t>
  </si>
  <si>
    <t>5.1.1.1</t>
  </si>
  <si>
    <t>5.1.2</t>
  </si>
  <si>
    <t>5.1.2.1</t>
  </si>
  <si>
    <t>5.1.2.2</t>
  </si>
  <si>
    <t>5.1.2.3</t>
  </si>
  <si>
    <t>5.1.3</t>
  </si>
  <si>
    <t>5.1.3.1</t>
  </si>
  <si>
    <t>5.1.4</t>
  </si>
  <si>
    <t>5.1.4.1</t>
  </si>
  <si>
    <t>5.1.4.2</t>
  </si>
  <si>
    <t>5.1.5</t>
  </si>
  <si>
    <t>5.1.5.1</t>
  </si>
  <si>
    <t>5.1.5.2</t>
  </si>
  <si>
    <t>5.1.5.3</t>
  </si>
  <si>
    <r>
      <t xml:space="preserve">Комплекс работ по облицовке </t>
    </r>
    <r>
      <rPr>
        <b/>
        <sz val="12"/>
        <color theme="1"/>
        <rFont val="Times New Roman"/>
        <family val="1"/>
        <charset val="204"/>
      </rPr>
      <t xml:space="preserve">цоколя и спусков в подвал (автостоянку) </t>
    </r>
    <r>
      <rPr>
        <sz val="12"/>
        <color theme="1"/>
        <rFont val="Times New Roman"/>
        <family val="1"/>
        <charset val="204"/>
      </rPr>
      <t xml:space="preserve">керамогранитом по бетонному кирпичу </t>
    </r>
  </si>
  <si>
    <t xml:space="preserve">Кирпич керамический лицевой Konigstein Уэльс Эдельграу фактурный 250х85х65мм серый </t>
  </si>
  <si>
    <t>3.2.1</t>
  </si>
  <si>
    <t>3.2.2</t>
  </si>
  <si>
    <t>3.2.4</t>
  </si>
  <si>
    <t>3.2.5</t>
  </si>
  <si>
    <t>3.2.6</t>
  </si>
  <si>
    <t>3.2.7</t>
  </si>
  <si>
    <t>3.2.8</t>
  </si>
  <si>
    <t>3.2.10</t>
  </si>
  <si>
    <t>1.2.9</t>
  </si>
  <si>
    <t xml:space="preserve">Комплекс работ по устройству пола в приямках </t>
  </si>
  <si>
    <t>2.2.10</t>
  </si>
  <si>
    <t>4.2.9</t>
  </si>
  <si>
    <t xml:space="preserve">Комплекс работ по устройству термофасадов, включая лоджии на остекленных балконах, надстройки на кровле, внутренние поверхности и пол приямков </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</si>
  <si>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</si>
  <si>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</si>
  <si>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 xml:space="preserve">ПРИМЕЧАНИЕ: </t>
  </si>
  <si>
    <t>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</si>
  <si>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В расчете стоимости учтены генподрядные услуги в размере  0,5% от общей стоимости выполняемых Субподрядчиком работ.</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</si>
  <si>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</si>
  <si>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Работы выполнять в соответствии с рабочей документацией, руководствоваться техническими требованиями Заказчика (ЧТУ), действующими правовыми и техническими нормами (СНиП, СП, ГОСТ, СанПиН, ФЗ, РД и прочими нормативными документами).</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</si>
  <si>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учесть в стоимости СМР.
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Субподрядчик обязан заключить договор на поставку материалов с Поставщиком, указанным ООО «Сэтл Строй».</t>
  </si>
  <si>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</si>
  <si>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особыми условиями, указанными в письме-приглашении на участие в тендере, согласны.</t>
  </si>
  <si>
    <t>С текстом договора подряда ознакомлены и согласны заключить договор на условиях, предложенных Генподрядчиком на тендере.</t>
  </si>
  <si>
    <t>Объект посетили, с ситуацией на объекте ознакомлены.</t>
  </si>
  <si>
    <t>До начала производства работ Субподрядчик выполняет и согласовывает эталонный фрагмент фасада с Заказчиком и Генпроектировщиком (образцы материалов, колеровочную палитру, RAL полимерного покрытия оцинкованной стали и т.п.).</t>
  </si>
  <si>
    <t>В соответствии с Соглашением о фиксации стоимости, преимущественное право поставки систем декоративных штукатурок фасадов для данного объекта закреплено за производителем Ceresit.
Производитель может быть изменен в случае предоставления подрядчиком на тендер более выгодного предложения на производство фасадных работ на альтернативном материале (Caparol, Weber).</t>
  </si>
  <si>
    <t>В системах декоративных штукатурок фасадов не допускается применение материалов различных производителей. Отделочные фасадные материалы (грунтовки, клеевые составы, выравнивающие шпаклевки, декоративные штукатурные составы, краски и т.п.) применяются системно (одноименного производителя) в соответствии с требованиями ООО "Сэтл Строй" (см. Приложение).</t>
  </si>
  <si>
    <t>Объемы работ определены по площади изолируемой поверхности (по грани несущей / ограждающей конструкции). Увеличение объемов работ по проекту КМД, разработанному Субподрядчиком и согласованному Генподрядчиком, предъявлению и последующей оплате в качестве дополнительных работ не подлежит.</t>
  </si>
  <si>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2"/>
        <rFont val="Times New Roman"/>
        <family val="1"/>
        <charset val="204"/>
      </rPr>
      <t xml:space="preserve">
- разработка и согласование с Генподрядчиком (до начала работ) Проекта производства работ (ППР), технологических карт,
</t>
    </r>
    <r>
      <rPr>
        <b/>
        <sz val="12"/>
        <rFont val="Times New Roman"/>
        <family val="1"/>
        <charset val="204"/>
      </rPr>
      <t>- мобилизация, монтаж, демонтаж, эксплуатация строительных подъемников, люлек, аренда строительных лесов, в т.ч. устройство основания для монтажа подъемников, лесов в случае необходимости,</t>
    </r>
    <r>
      <rPr>
        <sz val="12"/>
        <rFont val="Times New Roman"/>
        <family val="1"/>
        <charset val="204"/>
      </rPr>
      <t xml:space="preserve">
- оптимизация проектных решений и согласование с Генеральным проектировщиком, Заказчиком и Генподрядчиком,</t>
    </r>
    <r>
      <rPr>
        <b/>
        <sz val="12"/>
        <rFont val="Times New Roman"/>
        <family val="1"/>
        <charset val="204"/>
      </rPr>
      <t xml:space="preserve">
</t>
    </r>
    <r>
      <rPr>
        <sz val="12"/>
        <rFont val="Times New Roman"/>
        <family val="1"/>
        <charset val="204"/>
      </rPr>
      <t>- оптимизация проектных решений и согласование с Генеральным проектировщиком, Заказчиком и Генподрядчиком,
- полный комплекс работ по устройству фасадов всего здания "под ключ" в соответствии с рабочим Проектом и требуемый для ввода объекта в эксплуатацию и последующей передачи правообладателям (участникам долевого строительства и СКС), в т.ч., но не ограничиваясь:</t>
    </r>
  </si>
  <si>
    <t>-термофасад здания: основной фасад выше уровня 8-го этажа, вставки у окон и витражей, плит перекрытий над входами в здание, фасад за остекленными балконами, потолки лоджий на последнем этаже, надстройки на кровле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декоративного штукатурного слоя, окраска фасадной краской в 2 слоя, в соответствии с цветовыми решениями фасадов),</t>
  </si>
  <si>
    <t>- подготовка поверхностей металлических конструкций к окраске и окраска конструкций за 2 раза по подготовленной поверхности,
- применение типов и свойств используемых для окраски составов в соответствии с условиями эксплуатации конструкций,
- полимеризация окрашенных поверхностей конструкций в заводских условиях (в случае окраски порошковыми красками),
- стоимость материалов и работ по устройству крепления металлических конструкций и узлов примыкания (к перекрытию и пр. в том числе с помощью хим. анкеров, закладных элементов, ответных частей и т.п.),
- антикоррозийная защита металлических конструкций, защита заводских и монтажных сварных соединений, а также контроль качества сварных соединений,
- оплата всех необходимых разрешений, согласований, испытаний металлоконструкций по требованию Госпожнадзора,
- затраты на сверление отверстий под установку анкеров, монтажных пластин, крепление к существующим деталям, заделку отверстий и штроб,
- затраты на крепление металлоконструкций к элементам здания,
- проведение всех замеров на Объекте, необходимых для изготовления Конструкций (до заказа конструкций), обеспечение изготовления подлежащих монтажу Конструкций, в соответствии с проведенными замерами,
- затраты на разработку чертежей КМД до начала производства работ по монтажу металлоконструкций (без последующего увеличения объемов монтажных работ и общей стоимости по Договору), узлов крепления конструкций с выполнением необходимых расчетов и разработкой схем, включая геодезическую съемку и обработку результатов, а также согласование разработанных узлов с Генеральным проектировщиком, Заказчиком,
- обеспечение изготовления подлежащих монтажу конструкций в соответствии с проведенными замерами,
- затраты на защитные мероприятия для металлоконструкций на период производства работ (ДВП, картон, плёнка), по завершении работ - снятие защитных покрытий,</t>
  </si>
  <si>
    <t>Стоимость работ включает в себя работы по дефектованию оконных и дверных конструкций (в течении всего периода строительства) с предоставлением деф. ведомости и замену выбракованных элементов (с последующей их передачей Генподрядчику) на новые за счёт виновника повреждения. Субподрядчик обязуется передавать под сохранность результат выполненных работ Генподрядчику по 2-стороннему акту или Генодрядчику и следующему Субподрядчику по 3-х стороннему акту в зависимости от выбранной Генподрядчиком схемы передачи.</t>
  </si>
  <si>
    <r>
      <rPr>
        <sz val="12"/>
        <color theme="0"/>
        <rFont val="Times New Roman"/>
        <family val="1"/>
        <charset val="204"/>
      </rPr>
      <t>`</t>
    </r>
    <r>
      <rPr>
        <sz val="12"/>
        <rFont val="Times New Roman"/>
        <family val="1"/>
        <charset val="204"/>
      </rPr>
      <t>-отделка парапетов спусков в подвал  (оштукатуривание цем.-песчаным раствором толщ. 20 мм, с армированием стальной оцинкованной сеткой в 2 слоя, облицовка керамогранитом, на клее, с заполнителем швов на цементной основе в цвет плитки),</t>
    </r>
  </si>
  <si>
    <r>
      <rPr>
        <sz val="12"/>
        <color theme="0"/>
        <rFont val="Times New Roman"/>
        <family val="1"/>
        <charset val="204"/>
      </rPr>
      <t>`</t>
    </r>
    <r>
      <rPr>
        <sz val="12"/>
        <rFont val="Times New Roman"/>
        <family val="1"/>
        <charset val="204"/>
      </rPr>
      <t>-устройство цоколя с облицовкой бетонным кирпичом толщ.120мм, с опиранием на плиты (монолитный зуб), без теплоизоляции (обмазочная гидроизоляция в 2 слоя, кладка из кирпича бетонного толщ.120 мм. на цем.-печаном растворе М75),</t>
    </r>
  </si>
  <si>
    <r>
      <rPr>
        <sz val="12"/>
        <color theme="0"/>
        <rFont val="Times New Roman"/>
        <family val="1"/>
        <charset val="204"/>
      </rPr>
      <t>`</t>
    </r>
    <r>
      <rPr>
        <sz val="12"/>
        <rFont val="Times New Roman"/>
        <family val="1"/>
        <charset val="204"/>
      </rPr>
      <t>-устройство цоколя, наружных стен спусков в подвал (автостоянку) с облицовкой бетонным кирпичом толщ.120мм, с опиранием на плиту (монолитный зуб), с теплоизоляцией (обмазочная гидроизоляция в 2 слоя, теплоизоляция из пенополистирола экструзионного толщ. 50-150, на клее монтажном, с устройством в местах проемов и отверстий противопожарных рассчек из мин. плиты Rockwool Пластер Баттс, кладка из кирпича бетонного толщ. 120 мм с дополнительным креплением гибкими связями),</t>
    </r>
  </si>
  <si>
    <r>
      <rPr>
        <sz val="12"/>
        <color theme="0"/>
        <rFont val="Times New Roman"/>
        <family val="1"/>
        <charset val="204"/>
      </rPr>
      <t>`</t>
    </r>
    <r>
      <rPr>
        <sz val="12"/>
        <rFont val="Times New Roman"/>
        <family val="1"/>
        <charset val="204"/>
      </rPr>
      <t>-отделка цоколя и спусков в подвал (автостоянку) керамогранитом по бетонному кирпичу (оштукатуривание цем.-песчаным раствором толщ. 20 мм, с армированием стальной оцинкованной сеткой в 2 слоя, облицовка керамогранитом, на клее, с заполнителем швов на цементной основе в цвет плитки),</t>
    </r>
  </si>
  <si>
    <r>
      <rPr>
        <sz val="12"/>
        <color theme="0"/>
        <rFont val="Times New Roman"/>
        <family val="1"/>
        <charset val="204"/>
      </rPr>
      <t>`</t>
    </r>
    <r>
      <rPr>
        <sz val="12"/>
        <rFont val="Times New Roman"/>
        <family val="1"/>
        <charset val="204"/>
      </rPr>
      <t>-устройство фасада с облицовкой керамическим кирпичом толщ. 85 мм, c опиранием на плиту перекрытия, с теплоизоляцией (теплоизоляция из мин. плиты по ТУ АР-ТЗИ-2 п. 5, с креплением дюбелями для утеплителя, кладка из кирпича керамического облицовочного толщ. 85 мм с дополнительным креплением гибкими связями),</t>
    </r>
  </si>
  <si>
    <r>
      <rPr>
        <sz val="12"/>
        <color theme="0"/>
        <rFont val="Times New Roman"/>
        <family val="1"/>
        <charset val="204"/>
      </rPr>
      <t>`</t>
    </r>
    <r>
      <rPr>
        <sz val="12"/>
        <rFont val="Times New Roman"/>
        <family val="1"/>
        <charset val="204"/>
      </rPr>
      <t>-устройство фасада с облицовкой керамическим кирпичом толщ. 85 мм, с опиранием на плиту перекрытия, без теплоизоляции  (кладка из кирпича керамического облицовочного толщ. 85 мм с дополнительным креплением гибкими связями),</t>
    </r>
  </si>
  <si>
    <r>
      <rPr>
        <sz val="12"/>
        <color theme="0"/>
        <rFont val="Times New Roman"/>
        <family val="1"/>
        <charset val="204"/>
      </rPr>
      <t>`</t>
    </r>
    <r>
      <rPr>
        <sz val="12"/>
        <rFont val="Times New Roman"/>
        <family val="1"/>
        <charset val="204"/>
      </rPr>
      <t>-кладка из камня стенового толщ. 120 мм на участках под окнами с теплоизоляцией (участках с последующим устройством штукатурного фасада) (теплоизоляция из мин. плиты по ТУ АР-ТЗИ-2 п. 5, с креплением дюбелями для утеплителя, кладка из камня стенового толщ. 120 мм),</t>
    </r>
  </si>
  <si>
    <r>
      <rPr>
        <sz val="12"/>
        <color theme="0"/>
        <rFont val="Times New Roman"/>
        <family val="1"/>
        <charset val="204"/>
      </rPr>
      <t>`</t>
    </r>
    <r>
      <rPr>
        <sz val="12"/>
        <rFont val="Times New Roman"/>
        <family val="1"/>
        <charset val="204"/>
      </rPr>
      <t>-устройство подвесных потолков с теплоизоляцией (теплоизоляция из мин. плиты толщ.200мм по ТУ АР-ТЗИ-2 п. 5, с креплением дюбелями для утеплителя, монтаж подсистемы, монтаж линеарных панелей, 
  для корп.1.1 (секц.1.1, 1.3, 4.3) балки (видимая часть) (теплоизоляция из мин. плиты по ТУ АР-ТЗИ-2 п. 5, с креплением дюбелями для утеплителя, базовый штукатурный слой, с армированием стеклосеткой, огрунтовка, нанесение декоративного штукатурного слоя, окраска фасадной краской в 2 слоя, в соответствии с цветовыми решениями фасадов),
  для корп.1.1 (секция 2.4) монтаж подсистемы, монтаж хцл толщ.10мм в 2слоя, подготовка поверхности, нанесение декоративной минеральной штукатурки, окраска фасадной краской в 2 слоя, в соответствии с цветовыми решениями фасадов),</t>
    </r>
  </si>
  <si>
    <r>
      <rPr>
        <sz val="12"/>
        <color theme="0"/>
        <rFont val="Times New Roman"/>
        <family val="1"/>
        <charset val="204"/>
      </rPr>
      <t>`</t>
    </r>
    <r>
      <rPr>
        <sz val="12"/>
        <rFont val="Times New Roman"/>
        <family val="1"/>
        <charset val="204"/>
      </rPr>
      <t>-отделка торцов плит перекрытий c теплоизоляцией  (теплоизоляция из мин. плиты толщ.50мм, по ТУ АР-ТЗИ-2 п. 5, с креплением дюбелями для утеплителя, установка оцинкованного нащельника с полимерным покрытием в соответствии с цветовыми решениями фасадов),</t>
    </r>
  </si>
  <si>
    <r>
      <rPr>
        <sz val="12"/>
        <color theme="0"/>
        <rFont val="Times New Roman"/>
        <family val="1"/>
        <charset val="204"/>
      </rPr>
      <t>`</t>
    </r>
    <r>
      <rPr>
        <sz val="12"/>
        <rFont val="Times New Roman"/>
        <family val="1"/>
        <charset val="204"/>
      </rPr>
      <t>-отделка торцов плит перекрытий без теплоизоляции  (установка оцинкованного нащельника с полимерным покрытием в соответствии с цветовыми решениями фасадов),</t>
    </r>
  </si>
  <si>
    <r>
      <rPr>
        <sz val="12"/>
        <color theme="0"/>
        <rFont val="Times New Roman"/>
        <family val="1"/>
        <charset val="204"/>
      </rPr>
      <t>`</t>
    </r>
    <r>
      <rPr>
        <sz val="12"/>
        <rFont val="Times New Roman"/>
        <family val="1"/>
        <charset val="204"/>
      </rPr>
      <t xml:space="preserve">- устройство козырьков главных входных групп (монтаж подсистемы, монтаж металлических композитных панелей (цвет в соответсвии с цветовым решением фасадов) с креплением к балке подсистемы, монтаж материала облицовки потолка входной группы), </t>
    </r>
  </si>
  <si>
    <r>
      <rPr>
        <sz val="12"/>
        <color theme="0"/>
        <rFont val="Times New Roman"/>
        <family val="1"/>
        <charset val="204"/>
      </rPr>
      <t>`</t>
    </r>
    <r>
      <rPr>
        <sz val="12"/>
        <rFont val="Times New Roman"/>
        <family val="1"/>
        <charset val="204"/>
      </rPr>
      <t>- устройство кровли козырьков главных входных групп (сухая стяжка ХЦЛ толщ.10 мм в 2 слоя, гидроизоляция по ТУ АР-ГИ-1 п.4, 5)</t>
    </r>
  </si>
  <si>
    <r>
      <t xml:space="preserve">- комплекс работ по устройству оконных и дверных откосов в зоне термофасада (нанесение декоративного штукатурного слоя, армированного стеклосеткой, с последующей окраской фасадной краской),
- комплекс работ по устройству изделий из оцинкованной стали с полимерным покрытием, в т.ч.: наружные дверные, оконные и витражные откосы в зоне вент. фасада, оконные и витражные отливы, окрытия декоративных деталей, карнизов и иных выступающих частей фасада, фасонные элементы, нащельники на перепадах плоскостей фасада (в том числе отливы на переходе от кирпичной кладки к НВФ), </t>
    </r>
    <r>
      <rPr>
        <b/>
        <sz val="12"/>
        <rFont val="Times New Roman"/>
        <family val="1"/>
        <charset val="204"/>
      </rPr>
      <t>в т.ч. нащельники на торцах плит перекрытий</t>
    </r>
    <r>
      <rPr>
        <sz val="12"/>
        <rFont val="Times New Roman"/>
        <family val="1"/>
        <charset val="204"/>
      </rPr>
      <t>,
- изготовление и монтаж жалюзийных решеток, с порошковой окраской, в соответствии с цветовыми решениями фасадов,
- устройство узла примыкания клапанов инфильтрации КИВ, включая монтаж решетки с окраской в цвет фасада и сверление отверстий в кладке,
- устройство вентиляционных отверстий с установкой в швы вентиляционных коробочек,
- устройство ниш и лючков пожарных патрубков и поливочных кранов скрытого монтажа с отделкой кирпичом / керамогранитом / декоративных металлических реечных панелей (в случае необходимости),
- устройство деформационных швов в плоскости фасадов,
- устройство ветрозащиты здания,
- устройство противопожарных обрамлений оконных и дверных проемов цокольной части (в случае необходимости),
- комплекс работ по изготовлению и монтажу противопожарного оконного и дверного обрамления из оцинкованной кровельной стали с полимерным покрытием (в случае необходимости),
- устройство примыканий фасадов к оконным, дверным, витражным конструкциям,
- выполнение необходимого, по технологии производителя декоративной штукатурки, количества слоев огрунтовки в составе сечения фасада,
- полная обработка керамогранита, включая подпилку по длине в размер и включая торцевые пропилы для монтажа,
- полная подготовка под окраску нижних поверхностей балконных плит и т.п.,
- мероприятия по защите оконных и витражных конструкций (окрытие пленкой) при производстве отделочных работ на балконах,
- устройство узлов сопряжения различных видов фасада (кирпичног фасада, вентилируемого фасада, термофасада, цокольной части),
- использование противоморозных добавок, необходимых по технологии производства работ, а также дополнительные затраты при производстве СМР в зимнее время, в соответствии с рекомендациями ГСН 81-05-02-2001, раздел 1,
- окраска конструкций подсистемы вентфасада (видимых после монтажа алюминиевых композитных панелей, декоративных металлических реечных панелей, ламелей) порошковой краской в цвет по RAL в случае необходимости,</t>
    </r>
  </si>
  <si>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 Субгенподрядчику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 Субгенподрядчиком; подготовка и передача Генподрядчику / Субгенподрядчику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 / Субгенподрядчику  / Субподрядчикам,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</si>
  <si>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r>
      <t xml:space="preserve">Комплекс работ по устройству подвесных </t>
    </r>
    <r>
      <rPr>
        <b/>
        <sz val="12"/>
        <rFont val="Times New Roman"/>
        <family val="1"/>
        <charset val="204"/>
      </rPr>
      <t>потолков в арках</t>
    </r>
    <r>
      <rPr>
        <sz val="12"/>
        <rFont val="Times New Roman"/>
        <family val="1"/>
        <charset val="204"/>
      </rPr>
      <t xml:space="preserve"> (с теплоизоляцией) </t>
    </r>
  </si>
  <si>
    <t>тип стен Е1, кладка из бетонного кирпича учтена в другом ДП</t>
  </si>
  <si>
    <r>
      <t xml:space="preserve">указать норму расхода и учесть ее в стоимости материала___________  </t>
    </r>
    <r>
      <rPr>
        <sz val="10"/>
        <rFont val="Times New Roman"/>
        <family val="1"/>
        <charset val="204"/>
      </rPr>
      <t>(последующему увеличению не подлежит)</t>
    </r>
  </si>
  <si>
    <t>- термофасад здания: основной фасад выше уровня 8-го этажа, вставки у окон и витражей, нижние поверхности эркеров, плит перкрытий над входами в здание, фасад за остекленными балконами, потолки лоджий на последнем этаже, надстройки на кровле, стены и потолки рампы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декоративного штукатурного слоя, окраска фасадной краской в 2 слоя, в соответствии с цветовыми решениями фасадов),</t>
  </si>
  <si>
    <r>
      <rPr>
        <sz val="12"/>
        <color theme="0"/>
        <rFont val="Times New Roman"/>
        <family val="1"/>
        <charset val="204"/>
      </rPr>
      <t>`</t>
    </r>
    <r>
      <rPr>
        <sz val="12"/>
        <rFont val="Times New Roman"/>
        <family val="1"/>
        <charset val="204"/>
      </rPr>
      <t>- отделка нижних поверхностей балконных плит (окраска фасадной краской в 2 слоя, в соответствии с цветовыми решениями фасадов, с полной подготовкой поверхности),
- неутепленные внутренние поверхностей стен приямков (оштукатуривание цем.-песчаным раствором, с армированием сеткой (монолитные поверхности), огрунтовка, нанесение декоративного штукатурного слоя, с армированием стеклосеткой, с полной подготовкой поверхности, окраска фасадной краской в 2 слоя, в соответствии с цветовыми решениями фасадов),
- устройство пола в приямках (пропитка бетонной поверхности, уклонообразующая фиброцементная стяжка ЦПР М200 толщ.40-100 мм по сетке, с пароизоляцией полиэтиленовой пленкой 200 мкм, гидроизоляция 1 слой по ТКУ-Ар-ГИ-1 п.5, изоляция мин. ватой</t>
    </r>
    <r>
      <rPr>
        <b/>
        <sz val="12"/>
        <rFont val="Times New Roman"/>
        <family val="1"/>
        <charset val="204"/>
      </rPr>
      <t xml:space="preserve"> min</t>
    </r>
    <r>
      <rPr>
        <sz val="12"/>
        <rFont val="Times New Roman"/>
        <family val="1"/>
        <charset val="204"/>
      </rPr>
      <t xml:space="preserve"> толщ. 50 мм. по ТУ АР-ТЗИ-3),</t>
    </r>
  </si>
  <si>
    <t>II</t>
  </si>
  <si>
    <t>Корпус 1.1 , секции 2.1-2.6, в т.ч. ДОО</t>
  </si>
  <si>
    <t>Корпус 1.1 , секции 4.1-4.6, в т.ч КВОП</t>
  </si>
  <si>
    <t>Корпус 1.2 , секции 1-3, в т.ч. ДОО</t>
  </si>
  <si>
    <t>5</t>
  </si>
  <si>
    <t>5.1.1.2</t>
  </si>
  <si>
    <t>5.1.1.3</t>
  </si>
  <si>
    <t>1.1.13.1</t>
  </si>
  <si>
    <t>1.1.13.2</t>
  </si>
  <si>
    <t>1.1.13.3</t>
  </si>
  <si>
    <t>1.1.15</t>
  </si>
  <si>
    <t xml:space="preserve">Комплекс работ по устройству термофасадов внтури рампы автостоянки </t>
  </si>
  <si>
    <t xml:space="preserve">Комплекс работ по устройству термофасадов стен рампы </t>
  </si>
  <si>
    <r>
      <t>Комплекс работ по отделке</t>
    </r>
    <r>
      <rPr>
        <b/>
        <sz val="12"/>
        <rFont val="Times New Roman"/>
        <family val="1"/>
        <charset val="204"/>
      </rPr>
      <t xml:space="preserve"> парапетов спусков в подвал (автостоянку)</t>
    </r>
  </si>
  <si>
    <r>
      <t xml:space="preserve">Комплекс работ по отделке </t>
    </r>
    <r>
      <rPr>
        <b/>
        <sz val="12"/>
        <rFont val="Times New Roman"/>
        <family val="1"/>
        <charset val="204"/>
      </rPr>
      <t>парапетов спусков в подвал (автостоянку)</t>
    </r>
  </si>
  <si>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t>
    </r>
    <r>
      <rPr>
        <b/>
        <sz val="12"/>
        <rFont val="Times New Roman"/>
        <family val="1"/>
        <charset val="204"/>
      </rPr>
      <t xml:space="preserve"> на подсистеме, с теплоизоляцией</t>
    </r>
  </si>
  <si>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t>
    </r>
    <r>
      <rPr>
        <b/>
        <sz val="12"/>
        <rFont val="Times New Roman"/>
        <family val="1"/>
        <charset val="204"/>
      </rPr>
      <t>на подсистеме, с теплоизоляцией</t>
    </r>
  </si>
  <si>
    <t>3.1.11.4</t>
  </si>
  <si>
    <t xml:space="preserve">участки фасада над цоколем на подсистеме </t>
  </si>
  <si>
    <r>
      <t>Комплекс работ по устройству</t>
    </r>
    <r>
      <rPr>
        <b/>
        <sz val="12"/>
        <rFont val="Times New Roman"/>
        <family val="1"/>
        <charset val="204"/>
      </rPr>
      <t xml:space="preserve"> фасадов</t>
    </r>
    <r>
      <rPr>
        <sz val="12"/>
        <rFont val="Times New Roman"/>
        <family val="1"/>
        <charset val="204"/>
      </rPr>
      <t xml:space="preserve"> с облицовкой керамическим кирпичом толщ. 85 мм 
</t>
    </r>
    <r>
      <rPr>
        <b/>
        <sz val="12"/>
        <rFont val="Times New Roman"/>
        <family val="1"/>
        <charset val="204"/>
      </rPr>
      <t>на подсистеме, с теплоизоляцией</t>
    </r>
  </si>
  <si>
    <r>
      <rPr>
        <sz val="12"/>
        <color theme="0"/>
        <rFont val="Times New Roman"/>
        <family val="1"/>
        <charset val="204"/>
      </rPr>
      <t>`</t>
    </r>
    <r>
      <rPr>
        <sz val="12"/>
        <rFont val="Times New Roman"/>
        <family val="1"/>
        <charset val="204"/>
      </rPr>
      <t>-устройство фасада с облицовкой керамическим кирпичом толщ. 85 мм, на подсистеме, с теплоизоляцией  (монтаж подсистемы, теплоизоляция из мин. плиты по ТУ АР-ТЗИ-2 п. 5, с креплением дюбелями для утеплителя,  кладка из кирпича керамического облицовочного толщ. 85 мм),</t>
    </r>
  </si>
  <si>
    <t>2.1.13.4</t>
  </si>
  <si>
    <t>2.1.13.5</t>
  </si>
  <si>
    <t>2.1.15.4</t>
  </si>
  <si>
    <t>2.1.16.1</t>
  </si>
  <si>
    <t>2.1.16.2</t>
  </si>
  <si>
    <t>2.1.16.3</t>
  </si>
  <si>
    <t>2.1.18</t>
  </si>
  <si>
    <t>3.1.13.3</t>
  </si>
  <si>
    <t>3.1.13.4</t>
  </si>
  <si>
    <t>3.1.13.5</t>
  </si>
  <si>
    <t>3.1.13.6</t>
  </si>
  <si>
    <t>3.1.17.1</t>
  </si>
  <si>
    <t>3.1.17.2</t>
  </si>
  <si>
    <t>3.1.17.3</t>
  </si>
  <si>
    <t>3.1.19</t>
  </si>
  <si>
    <t>4.1.12.4</t>
  </si>
  <si>
    <t>4.1.13.1</t>
  </si>
  <si>
    <t>4.1.13.2</t>
  </si>
  <si>
    <t>4.1.13.3</t>
  </si>
  <si>
    <t>4.1.15</t>
  </si>
  <si>
    <t>Наименование организации _______________________</t>
  </si>
  <si>
    <t>ИНН ___________________________</t>
  </si>
  <si>
    <t>Дата подачи предложения "___" _____________ 2025 г.</t>
  </si>
  <si>
    <t xml:space="preserve">Основание: РД шифры 151/01-09/22-1-АР1.1, 1.2, 151/01-09/22-1-АР2.1, 2.2,
151/01-09/22-1-АР3.1, 3.2, 151/01-09/22-1-АР4.1, 4.2, 151/01-09/22-2-АР 1.1, 1.2, АРД, АР.Н.,
151/01-09/22-АР1.1.КВОП, 1.2 КВОП, частично утвержденные "в производство работ",     </t>
  </si>
  <si>
    <r>
      <t>участки фасада в зоне деф.шва плиты
(корпус, автостоянка)</t>
    </r>
    <r>
      <rPr>
        <sz val="12"/>
        <color rgb="FFFF0000"/>
        <rFont val="Times New Roman"/>
        <family val="1"/>
        <charset val="204"/>
      </rPr>
      <t xml:space="preserve"> </t>
    </r>
  </si>
  <si>
    <t>2.1.3</t>
  </si>
  <si>
    <t>2.1.3.1</t>
  </si>
  <si>
    <t>2.1.3.2</t>
  </si>
  <si>
    <t>2.1.3.3</t>
  </si>
  <si>
    <t>2.1.3.4</t>
  </si>
  <si>
    <t>2.1.4</t>
  </si>
  <si>
    <t>2.1.4.1</t>
  </si>
  <si>
    <t>2.1.4.2</t>
  </si>
  <si>
    <t>2.1.5</t>
  </si>
  <si>
    <t>2.1.5.1</t>
  </si>
  <si>
    <t>2.1.5.2</t>
  </si>
  <si>
    <t>2.1.5.3</t>
  </si>
  <si>
    <t>2.1.6</t>
  </si>
  <si>
    <t>2.1.6.1</t>
  </si>
  <si>
    <t>2.1.6.2</t>
  </si>
  <si>
    <t>2.1.6.3</t>
  </si>
  <si>
    <t>2.1.6.4</t>
  </si>
  <si>
    <t>2.1.7</t>
  </si>
  <si>
    <t>2.1.7.1</t>
  </si>
  <si>
    <t>2.1.7.2</t>
  </si>
  <si>
    <t>2.1.7.3</t>
  </si>
  <si>
    <t>2.1.7.4</t>
  </si>
  <si>
    <t>2.1.8</t>
  </si>
  <si>
    <t>2.1.8.1</t>
  </si>
  <si>
    <t>2.1.8.2</t>
  </si>
  <si>
    <t>2.1.8.3</t>
  </si>
  <si>
    <t>2.1.9</t>
  </si>
  <si>
    <t>2.1.10</t>
  </si>
  <si>
    <t>2.1.20</t>
  </si>
  <si>
    <t>2.1.9.1</t>
  </si>
  <si>
    <t>2.1.9.2</t>
  </si>
  <si>
    <t>2.1.9.3</t>
  </si>
  <si>
    <t>2.1.10.1</t>
  </si>
  <si>
    <t>2.1.10.2</t>
  </si>
  <si>
    <t>2.1.10.3</t>
  </si>
  <si>
    <t>2.1.11</t>
  </si>
  <si>
    <t>2.1.11.1</t>
  </si>
  <si>
    <t>2.1.14.4</t>
  </si>
  <si>
    <t>2.1.16.4</t>
  </si>
  <si>
    <t>2.1.16.5</t>
  </si>
  <si>
    <t>2.1.17.1</t>
  </si>
  <si>
    <t>2.1.17.2</t>
  </si>
  <si>
    <t>2.1.17.3</t>
  </si>
  <si>
    <t>2.1.18.1</t>
  </si>
  <si>
    <t>2.1.18.2</t>
  </si>
  <si>
    <t>2.1.18.3</t>
  </si>
  <si>
    <t>2.1.19</t>
  </si>
  <si>
    <t>2.1.19.1</t>
  </si>
  <si>
    <t>2.1.19.2</t>
  </si>
  <si>
    <t>2.1.19.3</t>
  </si>
  <si>
    <t>2.1.21</t>
  </si>
  <si>
    <t>тип стен А.2.3</t>
  </si>
  <si>
    <r>
      <t xml:space="preserve">участки фасада в зоне деф.шва плиты 
(корпус, автостоянка) </t>
    </r>
    <r>
      <rPr>
        <sz val="12"/>
        <color rgb="FFFF0000"/>
        <rFont val="Times New Roman"/>
        <family val="1"/>
        <charset val="204"/>
      </rPr>
      <t>тип стен А.2.2</t>
    </r>
  </si>
  <si>
    <t>4.1.2.4</t>
  </si>
  <si>
    <t>4.1.5.4</t>
  </si>
  <si>
    <t>4.1.6</t>
  </si>
  <si>
    <t>4.1.7.2</t>
  </si>
  <si>
    <t>4.1.7.3</t>
  </si>
  <si>
    <t>4.1.10.5</t>
  </si>
  <si>
    <t>4.1.11.6</t>
  </si>
  <si>
    <t>4.1.13.4</t>
  </si>
  <si>
    <t>4.1.13.5</t>
  </si>
  <si>
    <t>4.1.14.1</t>
  </si>
  <si>
    <t>4.1.14.2</t>
  </si>
  <si>
    <t>4.1.14.3</t>
  </si>
  <si>
    <t>4.1.14.4</t>
  </si>
  <si>
    <t>4.1.14.5</t>
  </si>
  <si>
    <t>4.1.14.6</t>
  </si>
  <si>
    <t>4.1.14.7</t>
  </si>
  <si>
    <t>4.1.15.1</t>
  </si>
  <si>
    <t>4.1.15.2</t>
  </si>
  <si>
    <t>4.1.15.3</t>
  </si>
  <si>
    <t>4.1.16</t>
  </si>
  <si>
    <t>4.1.17</t>
  </si>
  <si>
    <t xml:space="preserve">отделка по ХЦЛ учтена в п.2.2.2
зашивка подвесных потолков со стороны фасада, в два слоя </t>
  </si>
  <si>
    <r>
      <rPr>
        <sz val="12"/>
        <color theme="0"/>
        <rFont val="Times New Roman"/>
        <family val="1"/>
        <charset val="204"/>
      </rPr>
      <t>`</t>
    </r>
    <r>
      <rPr>
        <sz val="12"/>
        <rFont val="Times New Roman"/>
        <family val="1"/>
        <charset val="204"/>
      </rPr>
      <t>-устройство цоколя в уровне благоустройства (обмазочная гидроизоляция в 2 слоя, теплоизоляция из пенополистирола экструзионного на клее, кладка из кирпича бетонного толщ.120 мм. на цем.-печаном растворе М75),</t>
    </r>
  </si>
  <si>
    <t>`-устройство цоколя, наружных стен спусков в подвал (автостоянку) с облицовкой бетонным кирпичом толщ.120мм, с опиранием на плиту (монолитный зуб), с теплоизоляцией в зоне ДОО, КВОП (обмазочная гидроизоляция в 2 слоя, теплоизоляция из мин.плиты по ТУ АР-ТЗИ-2 п.6 на клее, монтаж ХЦЛ толщ.10мм, гидроизоляция в 2 слоя по ТУ Ар-ГИ-1, п.6.7,  кладка из кирпича бетонного толщ. 120 мм с дополнительным креплением гибкими связями),</t>
  </si>
  <si>
    <t>1.1.3.3</t>
  </si>
  <si>
    <t>1.1.3.4</t>
  </si>
  <si>
    <t>1.1.5.4</t>
  </si>
  <si>
    <t>1.1.6.2</t>
  </si>
  <si>
    <t>1.1.6.3</t>
  </si>
  <si>
    <t>1.1.6.4</t>
  </si>
  <si>
    <t>1.1.11.5</t>
  </si>
  <si>
    <t>1.1.13.4</t>
  </si>
  <si>
    <t>1.1.13.5</t>
  </si>
  <si>
    <t>1.1.13.6</t>
  </si>
  <si>
    <t>1.1.14.1</t>
  </si>
  <si>
    <t>1.1.14.2</t>
  </si>
  <si>
    <t>1.1.14.3</t>
  </si>
  <si>
    <t>1.1.15.1</t>
  </si>
  <si>
    <t>1.1.15.2</t>
  </si>
  <si>
    <t>1.1.15.3</t>
  </si>
  <si>
    <t>1.1.16</t>
  </si>
  <si>
    <t>1.1.16.1</t>
  </si>
  <si>
    <t>1.1.16.2</t>
  </si>
  <si>
    <t>1.1.16.3</t>
  </si>
  <si>
    <t>1.1.17</t>
  </si>
  <si>
    <t>1.1.18</t>
  </si>
  <si>
    <r>
      <t>участки фасада, в зоне деф.шва (корпус, автостоянка)</t>
    </r>
    <r>
      <rPr>
        <sz val="12"/>
        <color rgb="FFFF0000"/>
        <rFont val="Times New Roman"/>
        <family val="1"/>
        <charset val="204"/>
      </rPr>
      <t xml:space="preserve"> </t>
    </r>
  </si>
  <si>
    <t>`-устройство цоколя в уровне благоустройства ДОО, КВОП (обмазочная гидроизоляция в 2 слоя, теплоизоляция из мин.плиты по ТУ АР-ТЗИ-2 п.6 на клее, монтаж ХЦЛ толщ.10мм, гидроизоляция в 2 слоя по ТУ АР-ГИ-1, п.6.7, кладка из кирпича бетонного толщ.120 мм. на цем.-печаном растворе М75),</t>
  </si>
  <si>
    <r>
      <t>участки фасада, в зоне деф.шва (корпус, автостоянка),</t>
    </r>
    <r>
      <rPr>
        <sz val="12"/>
        <color rgb="FFFF0000"/>
        <rFont val="Times New Roman"/>
        <family val="1"/>
        <charset val="204"/>
      </rPr>
      <t xml:space="preserve"> тип стен А.2.2</t>
    </r>
  </si>
  <si>
    <t>тип стен А.2.1</t>
  </si>
  <si>
    <r>
      <t xml:space="preserve">Комплекс работ по устройству </t>
    </r>
    <r>
      <rPr>
        <b/>
        <sz val="12"/>
        <rFont val="Times New Roman"/>
        <family val="1"/>
        <charset val="204"/>
      </rPr>
      <t>цоколя в уровне благоустройства,</t>
    </r>
    <r>
      <rPr>
        <b/>
        <sz val="12"/>
        <color rgb="FFFF0000"/>
        <rFont val="Times New Roman"/>
        <family val="1"/>
        <charset val="204"/>
      </rPr>
      <t xml:space="preserve"> ЖК </t>
    </r>
  </si>
  <si>
    <r>
      <t xml:space="preserve">Комплекс работ по устройству </t>
    </r>
    <r>
      <rPr>
        <b/>
        <sz val="12"/>
        <rFont val="Times New Roman"/>
        <family val="1"/>
        <charset val="204"/>
      </rPr>
      <t xml:space="preserve">цоколя в уровне благоустройства, </t>
    </r>
    <r>
      <rPr>
        <b/>
        <sz val="12"/>
        <color rgb="FFFF0000"/>
        <rFont val="Times New Roman"/>
        <family val="1"/>
        <charset val="204"/>
      </rPr>
      <t xml:space="preserve">ДОО </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</si>
  <si>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керамогранитом </t>
    </r>
    <r>
      <rPr>
        <b/>
        <sz val="12"/>
        <color theme="1"/>
        <rFont val="Times New Roman"/>
        <family val="1"/>
        <charset val="204"/>
      </rPr>
      <t xml:space="preserve">на подсистеме, </t>
    </r>
    <r>
      <rPr>
        <b/>
        <sz val="12"/>
        <color rgb="FFFF0000"/>
        <rFont val="Times New Roman"/>
        <family val="1"/>
        <charset val="204"/>
      </rPr>
      <t>ЖК</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</si>
  <si>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керамогранитом </t>
    </r>
    <r>
      <rPr>
        <b/>
        <sz val="12"/>
        <color theme="1"/>
        <rFont val="Times New Roman"/>
        <family val="1"/>
        <charset val="204"/>
      </rPr>
      <t xml:space="preserve">на подсистеме, </t>
    </r>
    <r>
      <rPr>
        <b/>
        <sz val="12"/>
        <color rgb="FFFF0000"/>
        <rFont val="Times New Roman"/>
        <family val="1"/>
        <charset val="204"/>
      </rPr>
      <t>ДОО</t>
    </r>
  </si>
  <si>
    <r>
      <t>участки фасада, в зоне деф.шва (корпус, автостоянка),</t>
    </r>
    <r>
      <rPr>
        <sz val="12"/>
        <color rgb="FFFF0000"/>
        <rFont val="Times New Roman"/>
        <family val="1"/>
        <charset val="204"/>
      </rPr>
      <t xml:space="preserve"> тип стен А.2.5</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</si>
  <si>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керамогранитом </t>
    </r>
    <r>
      <rPr>
        <b/>
        <sz val="12"/>
        <color theme="1"/>
        <rFont val="Times New Roman"/>
        <family val="1"/>
        <charset val="204"/>
      </rPr>
      <t xml:space="preserve">на подсистеме, </t>
    </r>
    <r>
      <rPr>
        <b/>
        <sz val="12"/>
        <color rgb="FFFF0000"/>
        <rFont val="Times New Roman"/>
        <family val="1"/>
        <charset val="204"/>
      </rPr>
      <t>ЖК</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</si>
  <si>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t>
    </r>
    <r>
      <rPr>
        <sz val="12"/>
        <color rgb="FFFF0000"/>
        <rFont val="Times New Roman"/>
        <family val="1"/>
        <charset val="204"/>
      </rPr>
      <t xml:space="preserve"> </t>
    </r>
    <r>
      <rPr>
        <b/>
        <sz val="12"/>
        <color rgb="FFFF0000"/>
        <rFont val="Times New Roman"/>
        <family val="1"/>
        <charset val="204"/>
      </rPr>
      <t xml:space="preserve">ДОО </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</si>
  <si>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 </t>
    </r>
    <r>
      <rPr>
        <b/>
        <sz val="12"/>
        <color rgb="FFFF0000"/>
        <rFont val="Times New Roman"/>
        <family val="1"/>
        <charset val="204"/>
      </rPr>
      <t xml:space="preserve">ЖК </t>
    </r>
  </si>
  <si>
    <t>2.1.9.4</t>
  </si>
  <si>
    <t>2.1.11.2</t>
  </si>
  <si>
    <t>2.1.11.3</t>
  </si>
  <si>
    <t>2.1.11.4</t>
  </si>
  <si>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r>
      <rPr>
        <b/>
        <sz val="12"/>
        <color rgb="FFFF0000"/>
        <rFont val="Times New Roman"/>
        <family val="1"/>
        <charset val="204"/>
      </rPr>
      <t>ЖК</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</si>
  <si>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с облицовкой бетонным кирпичом толщ.120мм, с опиранием на плиту,</t>
    </r>
    <r>
      <rPr>
        <sz val="12"/>
        <color rgb="FFFF0000"/>
        <rFont val="Times New Roman"/>
        <family val="1"/>
        <charset val="204"/>
      </rPr>
      <t xml:space="preserve"> </t>
    </r>
    <r>
      <rPr>
        <b/>
        <sz val="12"/>
        <color rgb="FFFF0000"/>
        <rFont val="Times New Roman"/>
        <family val="1"/>
        <charset val="204"/>
      </rPr>
      <t xml:space="preserve">ДОО </t>
    </r>
  </si>
  <si>
    <t>2.1.14.5</t>
  </si>
  <si>
    <t>2.1.14.6</t>
  </si>
  <si>
    <t>2.1.17.4</t>
  </si>
  <si>
    <t>2.1.17.5</t>
  </si>
  <si>
    <t>2.1.17.6</t>
  </si>
  <si>
    <t>2.1.19.4</t>
  </si>
  <si>
    <t>2.1.20.1</t>
  </si>
  <si>
    <t>2.1.20.2</t>
  </si>
  <si>
    <t>2.1.20.3</t>
  </si>
  <si>
    <t>2.1.22</t>
  </si>
  <si>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 , </t>
    </r>
    <r>
      <rPr>
        <b/>
        <sz val="12"/>
        <color rgb="FFFF0000"/>
        <rFont val="Times New Roman"/>
        <family val="1"/>
        <charset val="204"/>
      </rPr>
      <t xml:space="preserve">ЖК </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</si>
  <si>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 </t>
    </r>
    <r>
      <rPr>
        <b/>
        <sz val="12"/>
        <color rgb="FFFF0000"/>
        <rFont val="Times New Roman"/>
        <family val="1"/>
        <charset val="204"/>
      </rPr>
      <t xml:space="preserve">КВОП </t>
    </r>
  </si>
  <si>
    <r>
      <t xml:space="preserve">Комплекс работ по устройству </t>
    </r>
    <r>
      <rPr>
        <b/>
        <sz val="12"/>
        <rFont val="Times New Roman"/>
        <family val="1"/>
        <charset val="204"/>
      </rPr>
      <t xml:space="preserve">цоколя в уровне благоустройства, </t>
    </r>
    <r>
      <rPr>
        <b/>
        <sz val="12"/>
        <color rgb="FFFF0000"/>
        <rFont val="Times New Roman"/>
        <family val="1"/>
        <charset val="204"/>
      </rPr>
      <t>КВОП</t>
    </r>
  </si>
  <si>
    <r>
      <t xml:space="preserve">Комплекс работ по устройству </t>
    </r>
    <r>
      <rPr>
        <b/>
        <sz val="12"/>
        <rFont val="Times New Roman"/>
        <family val="1"/>
        <charset val="204"/>
      </rPr>
      <t xml:space="preserve">цоколя в уровне благоустройства, </t>
    </r>
    <r>
      <rPr>
        <b/>
        <sz val="12"/>
        <color rgb="FFFF0000"/>
        <rFont val="Times New Roman"/>
        <family val="1"/>
        <charset val="204"/>
      </rPr>
      <t>ЖК</t>
    </r>
    <r>
      <rPr>
        <sz val="12"/>
        <color rgb="FFFF0000"/>
        <rFont val="Times New Roman"/>
        <family val="1"/>
        <charset val="204"/>
      </rPr>
      <t xml:space="preserve"> </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</si>
  <si>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r>
      <rPr>
        <b/>
        <sz val="12"/>
        <color rgb="FFFF0000"/>
        <rFont val="Times New Roman"/>
        <family val="1"/>
        <charset val="204"/>
      </rPr>
      <t>КВОП</t>
    </r>
  </si>
  <si>
    <t>рампы, вентшахты на кровле автостоянки</t>
  </si>
  <si>
    <r>
      <t xml:space="preserve">Комплекс работ по утеплению цоколя </t>
    </r>
    <r>
      <rPr>
        <b/>
        <sz val="12"/>
        <rFont val="Times New Roman"/>
        <family val="1"/>
        <charset val="204"/>
      </rPr>
      <t xml:space="preserve">в уровне благоустройства, </t>
    </r>
    <r>
      <rPr>
        <b/>
        <sz val="12"/>
        <color rgb="FFFF0000"/>
        <rFont val="Times New Roman"/>
        <family val="1"/>
        <charset val="204"/>
      </rPr>
      <t xml:space="preserve">ЖК </t>
    </r>
  </si>
  <si>
    <r>
      <t xml:space="preserve">Комплекс работ по утеплению цоколя </t>
    </r>
    <r>
      <rPr>
        <b/>
        <sz val="12"/>
        <rFont val="Times New Roman"/>
        <family val="1"/>
        <charset val="204"/>
      </rPr>
      <t xml:space="preserve">в уровне благоустройства, </t>
    </r>
    <r>
      <rPr>
        <b/>
        <sz val="12"/>
        <color rgb="FFFF0000"/>
        <rFont val="Times New Roman"/>
        <family val="1"/>
        <charset val="204"/>
      </rPr>
      <t xml:space="preserve">ДОО </t>
    </r>
  </si>
  <si>
    <r>
      <t xml:space="preserve">Комплекс работ по отделке </t>
    </r>
    <r>
      <rPr>
        <b/>
        <sz val="12"/>
        <color theme="1"/>
        <rFont val="Times New Roman"/>
        <family val="1"/>
        <charset val="204"/>
      </rPr>
      <t>утепленного цоколя</t>
    </r>
    <r>
      <rPr>
        <sz val="12"/>
        <color theme="1"/>
        <rFont val="Times New Roman"/>
        <family val="1"/>
        <charset val="204"/>
      </rPr>
      <t xml:space="preserve"> с облицовкой бетонным кирпичом толщ.120мм, с опиранием на плиту (монолитный зуб), </t>
    </r>
    <r>
      <rPr>
        <b/>
        <sz val="12"/>
        <color rgb="FFFF0000"/>
        <rFont val="Times New Roman"/>
        <family val="1"/>
        <charset val="204"/>
      </rPr>
      <t xml:space="preserve">ДОО </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</si>
  <si>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r>
      <rPr>
        <b/>
        <sz val="12"/>
        <color rgb="FFFF0000"/>
        <rFont val="Times New Roman"/>
        <family val="1"/>
        <charset val="204"/>
      </rPr>
      <t xml:space="preserve">ЖК </t>
    </r>
  </si>
  <si>
    <r>
      <t>Комплекс работ по отделке</t>
    </r>
    <r>
      <rPr>
        <b/>
        <sz val="12"/>
        <color theme="1"/>
        <rFont val="Times New Roman"/>
        <family val="1"/>
        <charset val="204"/>
      </rPr>
      <t xml:space="preserve"> спусков в подвал (автостоянку</t>
    </r>
    <r>
      <rPr>
        <sz val="12"/>
        <color theme="1"/>
        <rFont val="Times New Roman"/>
        <family val="1"/>
        <charset val="204"/>
      </rPr>
      <t xml:space="preserve">)  с облицовкой бетонным кирпичом толщ.120мм, с опиранием на плиту, </t>
    </r>
    <r>
      <rPr>
        <b/>
        <sz val="12"/>
        <color rgb="FFFF0000"/>
        <rFont val="Times New Roman"/>
        <family val="1"/>
        <charset val="204"/>
      </rPr>
      <t xml:space="preserve">ДОО </t>
    </r>
  </si>
  <si>
    <t>`-устройство спусков в подвал (автостоянку) на подсистеме, в зоне ДОО, КВОП  (обмазочная гидроизоляция в 2 слоя, монтаж подсистемы НВФ, теплоизоляция из мин.плиты по ТУ АР-ТЗИ-2 п.6 на клее, монтаж ХЦЛ толщ.10мм, гидроизоляция в 2 слоя по ТУ АР-ГИ-1, п.6.7, монтаж керамогранита на видимой системе крепления),</t>
  </si>
  <si>
    <r>
      <rPr>
        <sz val="12"/>
        <color theme="0"/>
        <rFont val="Times New Roman"/>
        <family val="1"/>
        <charset val="204"/>
      </rPr>
      <t>`</t>
    </r>
    <r>
      <rPr>
        <sz val="12"/>
        <rFont val="Times New Roman"/>
        <family val="1"/>
        <charset val="204"/>
      </rPr>
      <t>-устройство цоколя и спусков в подвал (автостоянку) на подсистеме в зоне ЖК  (обмазочная гидроизоляция в 2 слоя, монтаж подсистемы НВФ, теплоизоляция из пенополистирола экструзионного на клее, монтаж керамогранита на видимой системе крепления),</t>
    </r>
  </si>
  <si>
    <r>
      <t>РАСЧЕТ СТОИМОСТИ</t>
    </r>
    <r>
      <rPr>
        <b/>
        <sz val="20"/>
        <color theme="6" tint="-0.249977111117893"/>
        <rFont val="Times New Roman"/>
        <family val="1"/>
        <charset val="204"/>
      </rPr>
      <t xml:space="preserve"> </t>
    </r>
    <r>
      <rPr>
        <b/>
        <sz val="20"/>
        <color rgb="FF00B050"/>
        <rFont val="Times New Roman"/>
        <family val="1"/>
        <charset val="204"/>
      </rPr>
      <t xml:space="preserve">изм.1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</si>
</sst>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2">
    <numFmt numFmtId="43" formatCode="_-* #,##0.00_-;\-* #,##0.00_-;_-* &quot;-&quot;??_-;_-@_-"/>
    <numFmt numFmtId="164" formatCode="_-* #,##0\ _₽_-;\-* #,##0\ _₽_-;_-* &quot;-&quot;\ _₽_-;_-@_-"/>
    <numFmt numFmtId="165" formatCode="_-* #,##0.00\ _₽_-;\-* #,##0.00\ _₽_-;_-* &quot;-&quot;??\ _₽_-;_-@_-"/>
    <numFmt numFmtId="166" formatCode="_-* #,##0.00&quot;р.&quot;_-;\-* #,##0.00&quot;р.&quot;_-;_-* &quot;-&quot;??&quot;р.&quot;_-;_-@_-"/>
    <numFmt numFmtId="167" formatCode="_-* #,##0.00_р_._-;\-* #,##0.00_р_._-;_-* &quot;-&quot;??_р_._-;_-@_-"/>
    <numFmt numFmtId="168" formatCode="#,##0.0"/>
    <numFmt numFmtId="169" formatCode="_-* #,##0.00[$€-1]_-;\-* #,##0.00[$€-1]_-;_-* &quot;-&quot;??[$€-1]_-"/>
    <numFmt numFmtId="170" formatCode="_-* #,##0\ &quot;руб&quot;_-;\-* #,##0\ &quot;руб&quot;_-;_-* &quot;-&quot;\ &quot;руб&quot;_-;_-@_-"/>
    <numFmt numFmtId="171" formatCode="&quot;?.&quot;#,##0_);[Red]\(&quot;?.&quot;#,##0\)"/>
    <numFmt numFmtId="172" formatCode="&quot;?.&quot;#,##0.00_);[Red]\(&quot;?.&quot;#,##0.00\)"/>
    <numFmt numFmtId="173" formatCode="0.0000000"/>
    <numFmt numFmtId="174" formatCode="General_)"/>
    <numFmt numFmtId="175" formatCode="0.000"/>
    <numFmt numFmtId="176" formatCode="0.000000000"/>
    <numFmt numFmtId="177" formatCode="0.0000000000"/>
    <numFmt numFmtId="178" formatCode="0.00000000000"/>
    <numFmt numFmtId="179" formatCode="_-* #,##0.00\ _р_._-;\-* #,##0.00\ _р_._-;_-* &quot;-&quot;??\ _р_._-;_-@_-"/>
    <numFmt numFmtId="180" formatCode="0.0000000000000"/>
    <numFmt numFmtId="181" formatCode="#,##0\ &quot;р.&quot;;\-#,##0\ &quot;р.&quot;"/>
    <numFmt numFmtId="182" formatCode="_-* #,##0.00\ &quot;р.&quot;_-;\-* #,##0.00\ &quot;р.&quot;_-;_-* &quot;-&quot;??\ &quot;р.&quot;_-;_-@_-"/>
    <numFmt numFmtId="183" formatCode="_-&quot;£&quot;* #,##0.00_-;\-&quot;£&quot;* #,##0.00_-;_-&quot;£&quot;* &quot;-&quot;??_-;_-@_-"/>
    <numFmt numFmtId="184" formatCode="\X\X\X\X\X\X\-\X\X\X"/>
    <numFmt numFmtId="185" formatCode="\ #,##0.00&quot;    &quot;;\-#,##0.00&quot;    &quot;;&quot; -&quot;#&quot;    &quot;;@\ "/>
    <numFmt numFmtId="186" formatCode="#,##0.00\ [$€-C01]"/>
    <numFmt numFmtId="187" formatCode="&quot; &quot;#,##0&quot;    &quot;;&quot;-&quot;#,##0&quot;    &quot;;&quot; -    &quot;;@&quot; &quot;"/>
    <numFmt numFmtId="188" formatCode="#,##0.00_ ;[Red]\(#,##0.00\)\ "/>
    <numFmt numFmtId="189" formatCode="0.0,,_);\(0.0,,\);\-_0_)"/>
    <numFmt numFmtId="190" formatCode="_(&quot;$&quot;* #,##0_);_(&quot;$&quot;* \(#,##0\);_(&quot;$&quot;* &quot;-&quot;_);_(@_)"/>
    <numFmt numFmtId="191" formatCode="_(&quot;$&quot;* #,##0.00_);_(&quot;$&quot;* \(#,##0.00\);_(&quot;$&quot;* &quot;-&quot;??_);_(@_)"/>
    <numFmt numFmtId="192" formatCode="0.0%;\(0.0%\)"/>
    <numFmt numFmtId="193" formatCode="0.000000"/>
    <numFmt numFmtId="194" formatCode="_-* #,##0.00_р_._-;\-* #,##0.00_р_._-;_-* \-??_р_._-;_-@_-"/>
    <numFmt numFmtId="195" formatCode="&quot;£&quot;#,##0"/>
    <numFmt numFmtId="196" formatCode="_-* #,##0_р_._-;\-* #,##0_р_._-;_-* &quot;-&quot;??_р_._-;_-@_-"/>
    <numFmt numFmtId="197" formatCode="_-* #,##0.00&quot;р.&quot;_-;\-* #,##0.00&quot;р.&quot;_-;_-* \-??&quot;р.&quot;_-;_-@_-"/>
    <numFmt numFmtId="198" formatCode="\$#,##0.00_);&quot;($&quot;#,##0.00\)"/>
    <numFmt numFmtId="199" formatCode="0.0"/>
    <numFmt numFmtId="200" formatCode="_(\$* #,##0.00_);_(\$* \(#,##0.00\);_(\$* \-??_);_(@_)"/>
    <numFmt numFmtId="201" formatCode="&quot;$&quot;#,##0.00_);\(&quot;$&quot;#,##0.00\)"/>
    <numFmt numFmtId="202" formatCode="0.0000"/>
    <numFmt numFmtId="203" formatCode="#,##0.00;\-#,##0.00;0.00"/>
    <numFmt numFmtId="204" formatCode="#,##0\т"/>
    <numFmt numFmtId="205" formatCode="_-* #,##0\ _р_._-;\-* #,##0\ _р_._-;_-* &quot;-&quot;\ _р_._-;_-@_-"/>
    <numFmt numFmtId="206" formatCode="_-* #,##0_р_._-;\-* #,##0_р_._-;_-* &quot;-&quot;_р_._-;_-@_-"/>
    <numFmt numFmtId="207" formatCode="[$€-2]\ ###,000_);[Red]\([$€-2]\ ###,000\)"/>
    <numFmt numFmtId="208" formatCode="_-* #,##0.0000_р_._-;\-* #,##0.0000_р_._-;_-* &quot;-&quot;????_р_._-;_-@_-"/>
    <numFmt numFmtId="209" formatCode="_-* #,##0_р_._-;\-* #,##0_р_._-;_-* \-_р_._-;_-@_-"/>
    <numFmt numFmtId="210" formatCode="_-* #,##0.0_р_._-;\-* #,##0.0_р_._-;_-* &quot;-&quot;_р_._-;_-@_-"/>
    <numFmt numFmtId="211" formatCode="&quot;$&quot;#,##0_);\(&quot;$&quot;#,##0\)"/>
    <numFmt numFmtId="212" formatCode="&quot; &quot;#,##0.00&quot;   &quot;;&quot;-&quot;#,##0.00&quot;   &quot;;&quot; -&quot;00&quot;   &quot;;&quot; &quot;@&quot; &quot;"/>
    <numFmt numFmtId="213" formatCode="&quot;€&quot;#,##0;\-&quot;€&quot;#,##0"/>
    <numFmt numFmtId="214" formatCode="#,###"/>
  </numFmts>
  <fonts count="153">
    <font>
      <sz val="11"/>
      <color theme="1"/>
      <name val="Calibri"/>
      <family val="2"/>
      <charset val="204"/>
      <scheme val="minor"/>
    </font>
    <font>
      <sz val="10"/>
      <name val="Times New Roman"/>
      <family val="1"/>
      <charset val="204"/>
    </font>
    <font>
      <sz val="10"/>
      <name val="Arial"/>
      <family val="2"/>
      <charset val="204"/>
    </font>
    <font>
      <sz val="11"/>
      <color theme="1"/>
      <name val="Calibri"/>
      <family val="2"/>
      <charset val="204"/>
      <scheme val="minor"/>
    </font>
    <font>
      <sz val="12"/>
      <name val="Times New Roman"/>
      <family val="1"/>
      <charset val="204"/>
    </font>
    <font>
      <sz val="11"/>
      <name val="Arial"/>
      <family val="2"/>
      <charset val="204"/>
    </font>
    <font>
      <b/>
      <sz val="12"/>
      <name val="Times New Roman"/>
      <family val="1"/>
      <charset val="204"/>
    </font>
    <font>
      <b/>
      <sz val="11"/>
      <name val="Times New Roman"/>
      <family val="1"/>
      <charset val="204"/>
    </font>
    <font>
      <sz val="11"/>
      <name val="Times New Roman"/>
      <family val="1"/>
      <charset val="204"/>
    </font>
    <font>
      <sz val="14"/>
      <name val="Times New Roman"/>
      <family val="1"/>
      <charset val="204"/>
    </font>
    <font>
      <b/>
      <sz val="14"/>
      <name val="Times New Roman"/>
      <family val="1"/>
      <charset val="204"/>
    </font>
    <font>
      <sz val="12"/>
      <color rgb="FFFF0000"/>
      <name val="Times New Roman"/>
      <family val="1"/>
      <charset val="204"/>
    </font>
    <font>
      <b/>
      <sz val="10"/>
      <name val="Times New Roman"/>
      <family val="1"/>
      <charset val="204"/>
    </font>
    <font>
      <sz val="9"/>
      <name val="Times New Roman"/>
      <family val="1"/>
      <charset val="204"/>
    </font>
    <font>
      <sz val="11"/>
      <color theme="1"/>
      <name val="Calibri"/>
      <family val="2"/>
      <scheme val="minor"/>
    </font>
    <font>
      <sz val="12"/>
      <name val="Arial"/>
      <family val="2"/>
      <charset val="204"/>
    </font>
    <font>
      <sz val="10"/>
      <name val="Arial Cyr"/>
      <charset val="204"/>
    </font>
    <font>
      <sz val="10"/>
      <name val="Arial Cyr"/>
    </font>
    <font>
      <sz val="10"/>
      <name val="Helv"/>
    </font>
    <font>
      <sz val="10"/>
      <name val="Helv"/>
      <charset val="204"/>
    </font>
    <font>
      <sz val="1"/>
      <color indexed="8"/>
      <name val="Courier"/>
      <family val="1"/>
      <charset val="204"/>
    </font>
    <font>
      <b/>
      <sz val="1"/>
      <color indexed="8"/>
      <name val="Courier"/>
      <family val="1"/>
      <charset val="204"/>
    </font>
    <font>
      <sz val="10"/>
      <name val="MS Sans Serif"/>
      <family val="2"/>
      <charset val="204"/>
    </font>
    <font>
      <sz val="11"/>
      <color indexed="8"/>
      <name val="Calibri"/>
      <family val="2"/>
      <charset val="204"/>
    </font>
    <font>
      <sz val="11"/>
      <color indexed="9"/>
      <name val="Calibri"/>
      <family val="2"/>
      <charset val="204"/>
    </font>
    <font>
      <u/>
      <sz val="10"/>
      <color indexed="12"/>
      <name val="Arial Cyr"/>
      <charset val="204"/>
    </font>
    <font>
      <sz val="11"/>
      <color indexed="20"/>
      <name val="Calibri"/>
      <family val="2"/>
      <charset val="204"/>
    </font>
    <font>
      <sz val="18"/>
      <name val="Geneva"/>
      <family val="2"/>
    </font>
    <font>
      <sz val="9"/>
      <name val="Times New Roman"/>
      <family val="1"/>
    </font>
    <font>
      <b/>
      <sz val="11"/>
      <color indexed="10"/>
      <name val="Calibri"/>
      <family val="2"/>
      <charset val="204"/>
    </font>
    <font>
      <b/>
      <sz val="10"/>
      <color indexed="9"/>
      <name val="Arial"/>
      <family val="2"/>
      <charset val="204"/>
    </font>
    <font>
      <b/>
      <sz val="11"/>
      <color indexed="9"/>
      <name val="Calibri"/>
      <family val="2"/>
      <charset val="204"/>
    </font>
    <font>
      <sz val="11"/>
      <color indexed="8"/>
      <name val="Calibri"/>
      <family val="2"/>
    </font>
    <font>
      <sz val="10"/>
      <name val="NTHarmonica"/>
      <charset val="204"/>
    </font>
    <font>
      <sz val="10"/>
      <color indexed="8"/>
      <name val="Arial"/>
      <family val="2"/>
    </font>
    <font>
      <sz val="12"/>
      <name val="Tms Rmn"/>
      <charset val="204"/>
    </font>
    <font>
      <sz val="12"/>
      <name val="Times New Roman Cyr"/>
      <charset val="204"/>
    </font>
    <font>
      <sz val="10"/>
      <name val="Arial Cyr"/>
      <family val="2"/>
      <charset val="204"/>
    </font>
    <font>
      <sz val="11"/>
      <color indexed="8"/>
      <name val="Arial"/>
      <family val="2"/>
      <charset val="1"/>
    </font>
    <font>
      <sz val="10"/>
      <color theme="1"/>
      <name val="Arial Cyr"/>
      <charset val="204"/>
    </font>
    <font>
      <i/>
      <sz val="11"/>
      <color indexed="23"/>
      <name val="Calibri"/>
      <family val="2"/>
      <charset val="204"/>
    </font>
    <font>
      <i/>
      <sz val="1"/>
      <color indexed="8"/>
      <name val="Courier"/>
      <family val="1"/>
      <charset val="204"/>
    </font>
    <font>
      <u/>
      <sz val="10"/>
      <color indexed="36"/>
      <name val="Arial Cyr"/>
      <charset val="204"/>
    </font>
    <font>
      <sz val="11"/>
      <color indexed="58"/>
      <name val="Calibri"/>
      <family val="2"/>
      <charset val="204"/>
    </font>
    <font>
      <b/>
      <sz val="12"/>
      <name val="Arial"/>
      <family val="2"/>
    </font>
    <font>
      <b/>
      <sz val="15"/>
      <color indexed="57"/>
      <name val="Calibri"/>
      <family val="2"/>
      <charset val="204"/>
    </font>
    <font>
      <b/>
      <sz val="13"/>
      <color indexed="57"/>
      <name val="Calibri"/>
      <family val="2"/>
      <charset val="204"/>
    </font>
    <font>
      <b/>
      <sz val="11"/>
      <color indexed="57"/>
      <name val="Calibri"/>
      <family val="2"/>
      <charset val="204"/>
    </font>
    <font>
      <b/>
      <sz val="14"/>
      <name val="Arial"/>
      <family val="2"/>
      <charset val="204"/>
    </font>
    <font>
      <b/>
      <sz val="12"/>
      <name val="Arial"/>
      <family val="2"/>
      <charset val="204"/>
    </font>
    <font>
      <i/>
      <sz val="12"/>
      <name val="Arial"/>
      <family val="2"/>
      <charset val="204"/>
    </font>
    <font>
      <b/>
      <sz val="10"/>
      <name val="Arial"/>
      <family val="2"/>
      <charset val="204"/>
    </font>
    <font>
      <i/>
      <sz val="10"/>
      <name val="Arial"/>
      <family val="2"/>
      <charset val="204"/>
    </font>
    <font>
      <u/>
      <sz val="11"/>
      <color theme="10"/>
      <name val="Calibri"/>
      <family val="2"/>
      <charset val="204"/>
    </font>
    <font>
      <u/>
      <sz val="10"/>
      <color indexed="12"/>
      <name val="Times New Roman Cyr"/>
      <charset val="204"/>
    </font>
    <font>
      <u/>
      <sz val="11"/>
      <color theme="10"/>
      <name val="Calibri"/>
      <family val="2"/>
      <scheme val="minor"/>
    </font>
    <font>
      <sz val="12"/>
      <name val="Optima"/>
      <family val="2"/>
    </font>
    <font>
      <sz val="8"/>
      <color indexed="12"/>
      <name val="Arial"/>
      <family val="2"/>
      <charset val="204"/>
    </font>
    <font>
      <sz val="11"/>
      <color indexed="62"/>
      <name val="Calibri"/>
      <family val="2"/>
      <charset val="204"/>
    </font>
    <font>
      <b/>
      <u/>
      <sz val="16"/>
      <name val="Arial"/>
      <family val="2"/>
      <charset val="204"/>
    </font>
    <font>
      <sz val="9"/>
      <name val="Arial"/>
      <family val="2"/>
      <charset val="186"/>
    </font>
    <font>
      <sz val="10"/>
      <name val="HelveticaLT"/>
      <family val="2"/>
    </font>
    <font>
      <sz val="11"/>
      <color indexed="10"/>
      <name val="Calibri"/>
      <family val="2"/>
      <charset val="204"/>
    </font>
    <font>
      <sz val="11"/>
      <color indexed="19"/>
      <name val="Calibri"/>
      <family val="2"/>
      <charset val="204"/>
    </font>
    <font>
      <b/>
      <sz val="20"/>
      <name val="Arial"/>
      <family val="2"/>
      <charset val="204"/>
    </font>
    <font>
      <sz val="8"/>
      <name val="Arial Cyr"/>
      <charset val="204"/>
    </font>
    <font>
      <b/>
      <i/>
      <sz val="10"/>
      <name val="Arial"/>
      <family val="2"/>
      <charset val="204"/>
    </font>
    <font>
      <b/>
      <sz val="11"/>
      <color indexed="63"/>
      <name val="Calibri"/>
      <family val="2"/>
      <charset val="204"/>
    </font>
    <font>
      <sz val="8"/>
      <color indexed="17"/>
      <name val="Arial"/>
      <family val="2"/>
      <charset val="204"/>
    </font>
    <font>
      <b/>
      <sz val="20"/>
      <name val="Times New Roman"/>
      <family val="1"/>
      <charset val="204"/>
    </font>
    <font>
      <b/>
      <sz val="14"/>
      <name val="Arial"/>
      <family val="2"/>
    </font>
    <font>
      <sz val="8"/>
      <name val="Arial"/>
      <family val="2"/>
      <charset val="204"/>
    </font>
    <font>
      <b/>
      <sz val="10"/>
      <name val="HelveticaLT"/>
      <family val="2"/>
    </font>
    <font>
      <b/>
      <sz val="10"/>
      <color indexed="9"/>
      <name val="Arial"/>
      <family val="2"/>
    </font>
    <font>
      <sz val="7"/>
      <color rgb="FF000000"/>
      <name val="Arial"/>
      <family val="2"/>
      <charset val="204"/>
    </font>
    <font>
      <b/>
      <i/>
      <sz val="7"/>
      <color rgb="FF000000"/>
      <name val="Times New Roman"/>
      <family val="1"/>
      <charset val="204"/>
    </font>
    <font>
      <i/>
      <sz val="8"/>
      <color rgb="FF000000"/>
      <name val="Arial"/>
      <family val="2"/>
      <charset val="204"/>
    </font>
    <font>
      <b/>
      <sz val="12"/>
      <color rgb="FF000000"/>
      <name val="Arial"/>
      <family val="2"/>
      <charset val="204"/>
    </font>
    <font>
      <sz val="9"/>
      <color rgb="FF000000"/>
      <name val="Arial"/>
      <family val="2"/>
      <charset val="204"/>
    </font>
    <font>
      <b/>
      <sz val="8"/>
      <color rgb="FF000000"/>
      <name val="Arial"/>
      <family val="2"/>
      <charset val="204"/>
    </font>
    <font>
      <sz val="8"/>
      <color rgb="FF000000"/>
      <name val="Arial"/>
      <family val="2"/>
      <charset val="204"/>
    </font>
    <font>
      <b/>
      <sz val="7"/>
      <color rgb="FF000000"/>
      <name val="Arial"/>
      <family val="2"/>
      <charset val="204"/>
    </font>
    <font>
      <sz val="10"/>
      <color rgb="FF000000"/>
      <name val="Arial"/>
      <family val="2"/>
      <charset val="204"/>
    </font>
    <font>
      <sz val="10"/>
      <color indexed="8"/>
      <name val="Arial"/>
      <family val="2"/>
      <charset val="204"/>
    </font>
    <font>
      <sz val="11"/>
      <color rgb="FF000000"/>
      <name val="Calibri"/>
      <family val="2"/>
      <charset val="204"/>
    </font>
    <font>
      <b/>
      <sz val="18"/>
      <color indexed="57"/>
      <name val="Cambria"/>
      <family val="2"/>
      <charset val="204"/>
    </font>
    <font>
      <b/>
      <sz val="11"/>
      <color indexed="8"/>
      <name val="Calibri"/>
      <family val="2"/>
      <charset val="204"/>
    </font>
    <font>
      <b/>
      <sz val="11"/>
      <color indexed="52"/>
      <name val="Calibri"/>
      <family val="2"/>
      <charset val="204"/>
    </font>
    <font>
      <u/>
      <sz val="8.5"/>
      <color indexed="12"/>
      <name val="Arial"/>
      <family val="2"/>
      <charset val="204"/>
    </font>
    <font>
      <u/>
      <sz val="10"/>
      <color theme="10"/>
      <name val="Arial Cyr"/>
      <family val="2"/>
      <charset val="204"/>
    </font>
    <font>
      <u/>
      <sz val="10"/>
      <color indexed="12"/>
      <name val="Arial"/>
      <family val="2"/>
      <charset val="204"/>
    </font>
    <font>
      <u/>
      <sz val="11"/>
      <color theme="10"/>
      <name val="Calibri"/>
      <family val="2"/>
      <charset val="204"/>
      <scheme val="minor"/>
    </font>
    <font>
      <u/>
      <sz val="12"/>
      <color theme="10"/>
      <name val="Arial"/>
      <family val="2"/>
      <charset val="204"/>
    </font>
    <font>
      <u/>
      <sz val="10"/>
      <color theme="10"/>
      <name val="Arial Cyr"/>
      <charset val="204"/>
    </font>
    <font>
      <u/>
      <sz val="11"/>
      <color theme="10"/>
      <name val="Calibri"/>
      <family val="2"/>
    </font>
    <font>
      <u/>
      <sz val="10"/>
      <color indexed="12"/>
      <name val="Arial Cyr"/>
      <family val="2"/>
      <charset val="204"/>
    </font>
    <font>
      <u/>
      <sz val="10"/>
      <color indexed="12"/>
      <name val="Times New Roman"/>
      <family val="1"/>
      <charset val="204"/>
    </font>
    <font>
      <u/>
      <sz val="7.5"/>
      <color indexed="12"/>
      <name val="Arial"/>
      <family val="2"/>
      <charset val="204"/>
    </font>
    <font>
      <sz val="8"/>
      <name val="Times New Roman Cyr"/>
      <family val="1"/>
      <charset val="204"/>
    </font>
    <font>
      <sz val="10"/>
      <name val="Arial"/>
      <family val="2"/>
    </font>
    <font>
      <sz val="12"/>
      <name val="Arial Cyr"/>
      <charset val="204"/>
    </font>
    <font>
      <b/>
      <sz val="15"/>
      <color indexed="56"/>
      <name val="Calibri"/>
      <family val="2"/>
      <charset val="204"/>
    </font>
    <font>
      <b/>
      <sz val="13"/>
      <color indexed="56"/>
      <name val="Calibri"/>
      <family val="2"/>
      <charset val="204"/>
    </font>
    <font>
      <b/>
      <sz val="11"/>
      <color indexed="56"/>
      <name val="Calibri"/>
      <family val="2"/>
      <charset val="204"/>
    </font>
    <font>
      <b/>
      <sz val="10"/>
      <color indexed="12"/>
      <name val="Arial Cyr"/>
      <family val="2"/>
      <charset val="204"/>
    </font>
    <font>
      <b/>
      <sz val="18"/>
      <color indexed="56"/>
      <name val="Cambria"/>
      <family val="2"/>
      <charset val="204"/>
    </font>
    <font>
      <sz val="11"/>
      <color indexed="60"/>
      <name val="Calibri"/>
      <family val="2"/>
      <charset val="204"/>
    </font>
    <font>
      <sz val="10"/>
      <color rgb="FF000000"/>
      <name val="Times New Roman"/>
      <family val="1"/>
      <charset val="204"/>
    </font>
    <font>
      <sz val="12"/>
      <name val="Times New Roman Cyr"/>
      <family val="1"/>
      <charset val="204"/>
    </font>
    <font>
      <sz val="8"/>
      <name val="Arial"/>
      <family val="2"/>
    </font>
    <font>
      <sz val="10"/>
      <name val="Times New Roman Cyr"/>
      <charset val="204"/>
    </font>
    <font>
      <sz val="12"/>
      <name val="Arial Cyr"/>
      <family val="2"/>
      <charset val="204"/>
    </font>
    <font>
      <sz val="10"/>
      <color theme="1"/>
      <name val="Times New Roman"/>
      <family val="2"/>
    </font>
    <font>
      <sz val="10"/>
      <color indexed="8"/>
      <name val="Times New Roman"/>
      <family val="1"/>
      <charset val="204"/>
    </font>
    <font>
      <sz val="11"/>
      <color indexed="52"/>
      <name val="Calibri"/>
      <family val="2"/>
      <charset val="204"/>
    </font>
    <font>
      <sz val="8.5"/>
      <name val="Times Cyrillic"/>
    </font>
    <font>
      <sz val="10"/>
      <name val="Arial Narrow"/>
      <family val="2"/>
      <charset val="204"/>
    </font>
    <font>
      <sz val="9"/>
      <name val="Arial Cyr"/>
      <charset val="204"/>
    </font>
    <font>
      <sz val="11"/>
      <color theme="1"/>
      <name val="Calibri"/>
      <family val="2"/>
      <charset val="204"/>
    </font>
    <font>
      <sz val="11"/>
      <color indexed="10"/>
      <name val="Arial Cyr"/>
      <family val="2"/>
      <charset val="204"/>
    </font>
    <font>
      <sz val="11"/>
      <color indexed="17"/>
      <name val="Calibri"/>
      <family val="2"/>
      <charset val="204"/>
    </font>
    <font>
      <i/>
      <sz val="12"/>
      <name val="Times New Roman"/>
      <family val="1"/>
      <charset val="204"/>
    </font>
    <font>
      <b/>
      <sz val="17"/>
      <name val="Times New Roman"/>
      <family val="1"/>
      <charset val="204"/>
    </font>
    <font>
      <sz val="17"/>
      <name val="Arial"/>
      <family val="2"/>
      <charset val="204"/>
    </font>
    <font>
      <sz val="15"/>
      <name val="Arial"/>
      <family val="2"/>
      <charset val="204"/>
    </font>
    <font>
      <i/>
      <sz val="12"/>
      <color rgb="FF0000FF"/>
      <name val="Times New Roman"/>
      <family val="1"/>
      <charset val="204"/>
    </font>
    <font>
      <i/>
      <sz val="11"/>
      <name val="Times New Roman"/>
      <family val="1"/>
      <charset val="204"/>
    </font>
    <font>
      <i/>
      <sz val="12"/>
      <color rgb="FFFF0000"/>
      <name val="Times New Roman"/>
      <family val="1"/>
      <charset val="204"/>
    </font>
    <font>
      <sz val="11"/>
      <color theme="1"/>
      <name val="Times New Roman"/>
      <family val="1"/>
      <charset val="204"/>
    </font>
    <font>
      <i/>
      <sz val="12"/>
      <color theme="1"/>
      <name val="Times New Roman"/>
      <family val="1"/>
      <charset val="204"/>
    </font>
    <font>
      <sz val="12"/>
      <color theme="1"/>
      <name val="Times New Roman"/>
      <family val="1"/>
      <charset val="204"/>
    </font>
    <font>
      <b/>
      <sz val="12"/>
      <color theme="1"/>
      <name val="Times New Roman"/>
      <family val="1"/>
      <charset val="204"/>
    </font>
    <font>
      <sz val="11"/>
      <color rgb="FFFF0000"/>
      <name val="Times New Roman"/>
      <family val="1"/>
      <charset val="204"/>
    </font>
    <font>
      <sz val="18"/>
      <color rgb="FFFF0000"/>
      <name val="Times New Roman"/>
      <family val="1"/>
      <charset val="204"/>
    </font>
    <font>
      <b/>
      <sz val="18"/>
      <name val="Times New Roman"/>
      <family val="1"/>
      <charset val="204"/>
    </font>
    <font>
      <b/>
      <u/>
      <sz val="12"/>
      <name val="Times New Roman"/>
      <family val="1"/>
      <charset val="204"/>
    </font>
    <font>
      <sz val="11"/>
      <name val="Calibri"/>
      <family val="2"/>
      <charset val="204"/>
      <scheme val="minor"/>
    </font>
    <font>
      <b/>
      <sz val="14"/>
      <color rgb="FFFF0000"/>
      <name val="Times New Roman"/>
      <family val="1"/>
      <charset val="204"/>
    </font>
    <font>
      <b/>
      <i/>
      <sz val="12"/>
      <color rgb="FFFF0000"/>
      <name val="Times New Roman"/>
      <family val="1"/>
      <charset val="204"/>
    </font>
    <font>
      <b/>
      <i/>
      <sz val="12"/>
      <name val="Times New Roman"/>
      <family val="1"/>
      <charset val="204"/>
    </font>
    <font>
      <i/>
      <sz val="11"/>
      <color rgb="FFFF0000"/>
      <name val="Times New Roman"/>
      <family val="1"/>
      <charset val="204"/>
    </font>
    <font>
      <i/>
      <sz val="11"/>
      <color theme="1"/>
      <name val="Calibri"/>
      <family val="2"/>
      <charset val="204"/>
      <scheme val="minor"/>
    </font>
    <font>
      <sz val="11"/>
      <color rgb="FF00B050"/>
      <name val="Times New Roman"/>
      <family val="1"/>
      <charset val="204"/>
    </font>
    <font>
      <b/>
      <i/>
      <sz val="11"/>
      <color rgb="FFFF0000"/>
      <name val="Times New Roman"/>
      <family val="1"/>
      <charset val="204"/>
    </font>
    <font>
      <i/>
      <sz val="11"/>
      <color theme="1"/>
      <name val="Times New Roman"/>
      <family val="1"/>
      <charset val="204"/>
    </font>
    <font>
      <b/>
      <i/>
      <sz val="12"/>
      <color theme="1"/>
      <name val="Times New Roman"/>
      <family val="1"/>
      <charset val="204"/>
    </font>
    <font>
      <b/>
      <sz val="12"/>
      <color rgb="FFFF0000"/>
      <name val="Times New Roman"/>
      <family val="1"/>
      <charset val="204"/>
    </font>
    <font>
      <sz val="12"/>
      <color theme="0"/>
      <name val="Times New Roman"/>
      <family val="1"/>
      <charset val="204"/>
    </font>
    <font>
      <sz val="10"/>
      <color rgb="FF0000FF"/>
      <name val="Times New Roman"/>
      <family val="1"/>
      <charset val="204"/>
    </font>
    <font>
      <b/>
      <sz val="16"/>
      <name val="Times New Roman"/>
      <family val="1"/>
      <charset val="204"/>
    </font>
    <font>
      <sz val="16"/>
      <name val="Times New Roman"/>
      <family val="1"/>
      <charset val="204"/>
    </font>
    <font>
      <b/>
      <sz val="20"/>
      <color theme="6" tint="-0.249977111117893"/>
      <name val="Times New Roman"/>
      <family val="1"/>
      <charset val="204"/>
    </font>
    <font>
      <b/>
      <sz val="20"/>
      <color rgb="FF00B050"/>
      <name val="Times New Roman"/>
      <family val="1"/>
      <charset val="204"/>
    </font>
  </fonts>
  <fills count="43">
    <fill>
      <patternFill patternType="none"/>
    </fill>
    <fill>
      <patternFill patternType="gray125"/>
    </fill>
    <fill>
      <patternFill patternType="solid">
        <fgColor rgb="FFCCFFFF"/>
        <bgColor indexed="64"/>
      </patternFill>
    </fill>
    <fill>
      <patternFill patternType="solid">
        <fgColor theme="8" tint="0.59999389629810485"/>
        <bgColor indexed="64"/>
      </patternFill>
    </fill>
    <fill>
      <patternFill patternType="lightGray">
        <fgColor indexed="22"/>
      </patternFill>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2"/>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4"/>
      </patternFill>
    </fill>
    <fill>
      <patternFill patternType="solid">
        <fgColor indexed="10"/>
      </patternFill>
    </fill>
    <fill>
      <patternFill patternType="solid">
        <fgColor indexed="9"/>
      </patternFill>
    </fill>
    <fill>
      <patternFill patternType="solid">
        <fgColor indexed="10"/>
        <bgColor indexed="64"/>
      </patternFill>
    </fill>
    <fill>
      <patternFill patternType="solid">
        <fgColor indexed="55"/>
      </patternFill>
    </fill>
    <fill>
      <patternFill patternType="solid">
        <fgColor indexed="43"/>
        <bgColor indexed="64"/>
      </patternFill>
    </fill>
    <fill>
      <patternFill patternType="solid">
        <fgColor indexed="13"/>
        <bgColor indexed="64"/>
      </patternFill>
    </fill>
    <fill>
      <patternFill patternType="solid">
        <fgColor indexed="43"/>
      </patternFill>
    </fill>
    <fill>
      <patternFill patternType="solid">
        <fgColor indexed="22"/>
        <bgColor indexed="64"/>
      </patternFill>
    </fill>
    <fill>
      <patternFill patternType="solid">
        <fgColor indexed="23"/>
        <bgColor indexed="8"/>
      </patternFill>
    </fill>
    <fill>
      <patternFill patternType="solid">
        <fgColor indexed="40"/>
        <bgColor indexed="49"/>
      </patternFill>
    </fill>
    <fill>
      <patternFill patternType="solid">
        <fgColor indexed="62"/>
      </patternFill>
    </fill>
    <fill>
      <patternFill patternType="solid">
        <fgColor indexed="57"/>
      </patternFill>
    </fill>
    <fill>
      <patternFill patternType="solid">
        <fgColor indexed="53"/>
      </patternFill>
    </fill>
    <fill>
      <patternFill patternType="solid">
        <fgColor indexed="27"/>
        <bgColor indexed="64"/>
      </patternFill>
    </fill>
    <fill>
      <patternFill patternType="solid">
        <fgColor indexed="45"/>
        <bgColor indexed="29"/>
      </patternFill>
    </fill>
    <fill>
      <patternFill patternType="solid">
        <fgColor indexed="9"/>
        <bgColor indexed="64"/>
      </patternFill>
    </fill>
    <fill>
      <patternFill patternType="solid">
        <fgColor indexed="9"/>
        <bgColor indexed="9"/>
      </patternFill>
    </fill>
    <fill>
      <patternFill patternType="solid">
        <fgColor theme="6" tint="0.59999389629810485"/>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0" tint="-0.249977111117893"/>
        <bgColor indexed="64"/>
      </patternFill>
    </fill>
  </fills>
  <borders count="84">
    <border>
      <left/>
      <right/>
      <top/>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style="medium">
        <color indexed="64"/>
      </top>
      <bottom style="medium">
        <color indexed="64"/>
      </bottom>
      <diagonal/>
    </border>
    <border>
      <left style="thin">
        <color indexed="64"/>
      </left>
      <right style="thin">
        <color indexed="64"/>
      </right>
      <top/>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style="thin">
        <color auto="1"/>
      </top>
      <bottom style="thin">
        <color indexed="64"/>
      </bottom>
      <diagonal/>
    </border>
    <border>
      <left/>
      <right/>
      <top/>
      <bottom style="thick">
        <color indexed="49"/>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49"/>
      </top>
      <bottom style="double">
        <color indexed="49"/>
      </bottom>
      <diagonal/>
    </border>
    <border>
      <left style="hair">
        <color indexed="64"/>
      </left>
      <right/>
      <top style="hair">
        <color indexed="64"/>
      </top>
      <bottom style="hair">
        <color indexed="9"/>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bottom style="double">
        <color indexed="52"/>
      </bottom>
      <diagonal/>
    </border>
    <border>
      <left/>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right/>
      <top style="thin">
        <color auto="1"/>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49"/>
      </top>
      <bottom style="double">
        <color indexed="49"/>
      </bottom>
      <diagonal/>
    </border>
    <border>
      <left/>
      <right/>
      <top style="thin">
        <color indexed="62"/>
      </top>
      <bottom style="double">
        <color indexed="62"/>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medium">
        <color indexed="64"/>
      </right>
      <top/>
      <bottom style="thin">
        <color indexed="64"/>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auto="1"/>
      </left>
      <right/>
      <top/>
      <bottom style="thin">
        <color auto="1"/>
      </bottom>
      <diagonal/>
    </border>
    <border>
      <left style="medium">
        <color auto="1"/>
      </left>
      <right/>
      <top style="thin">
        <color auto="1"/>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auto="1"/>
      </left>
      <right style="medium">
        <color auto="1"/>
      </right>
      <top style="thin">
        <color auto="1"/>
      </top>
      <bottom/>
      <diagonal/>
    </border>
    <border>
      <left/>
      <right/>
      <top style="thin">
        <color auto="1"/>
      </top>
      <bottom/>
      <diagonal/>
    </border>
    <border>
      <left/>
      <right style="medium">
        <color indexed="64"/>
      </right>
      <top style="thin">
        <color auto="1"/>
      </top>
      <bottom/>
      <diagonal/>
    </border>
    <border>
      <left style="medium">
        <color indexed="64"/>
      </left>
      <right style="medium">
        <color indexed="64"/>
      </right>
      <top/>
      <bottom style="medium">
        <color indexed="64"/>
      </bottom>
      <diagonal/>
    </border>
    <border>
      <left style="medium">
        <color auto="1"/>
      </left>
      <right style="thin">
        <color auto="1"/>
      </right>
      <top style="thin">
        <color auto="1"/>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right style="thin">
        <color indexed="64"/>
      </right>
      <top style="thin">
        <color auto="1"/>
      </top>
      <bottom style="thin">
        <color indexed="64"/>
      </bottom>
      <diagonal/>
    </border>
    <border>
      <left style="thin">
        <color auto="1"/>
      </left>
      <right style="thin">
        <color auto="1"/>
      </right>
      <top style="thin">
        <color auto="1"/>
      </top>
      <bottom style="thin">
        <color indexed="64"/>
      </bottom>
      <diagonal/>
    </border>
    <border>
      <left style="thin">
        <color indexed="64"/>
      </left>
      <right/>
      <top style="thin">
        <color auto="1"/>
      </top>
      <bottom style="thin">
        <color indexed="64"/>
      </bottom>
      <diagonal/>
    </border>
    <border>
      <left style="medium">
        <color indexed="64"/>
      </left>
      <right style="medium">
        <color indexed="64"/>
      </right>
      <top style="thin">
        <color auto="1"/>
      </top>
      <bottom style="thin">
        <color indexed="64"/>
      </bottom>
      <diagonal/>
    </border>
    <border>
      <left/>
      <right style="medium">
        <color indexed="64"/>
      </right>
      <top style="thin">
        <color auto="1"/>
      </top>
      <bottom style="thin">
        <color indexed="64"/>
      </bottom>
      <diagonal/>
    </border>
    <border>
      <left style="medium">
        <color auto="1"/>
      </left>
      <right/>
      <top style="thin">
        <color auto="1"/>
      </top>
      <bottom style="thin">
        <color indexed="64"/>
      </bottom>
      <diagonal/>
    </border>
    <border>
      <left style="medium">
        <color auto="1"/>
      </left>
      <right style="thin">
        <color auto="1"/>
      </right>
      <top style="thin">
        <color auto="1"/>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right style="thin">
        <color indexed="64"/>
      </right>
      <top/>
      <bottom/>
      <diagonal/>
    </border>
  </borders>
  <cellStyleXfs count="19978">
    <xf numFmtId="0" fontId="0" fillId="0" borderId="0"/>
    <xf numFmtId="0" fontId="1" fillId="0" borderId="0"/>
    <xf numFmtId="166" fontId="1" fillId="0" borderId="0" applyFont="0" applyFill="0" applyBorder="0" applyAlignment="0" applyProtection="0"/>
    <xf numFmtId="0" fontId="1" fillId="0" borderId="0"/>
    <xf numFmtId="167" fontId="1" fillId="0" borderId="0" applyFont="0" applyFill="0" applyBorder="0" applyAlignment="0" applyProtection="0"/>
    <xf numFmtId="0" fontId="1" fillId="0" borderId="0"/>
    <xf numFmtId="166" fontId="1" fillId="0" borderId="0" applyFont="0" applyFill="0" applyBorder="0" applyAlignment="0" applyProtection="0"/>
    <xf numFmtId="167" fontId="1" fillId="0" borderId="0" applyFont="0" applyFill="0" applyBorder="0" applyAlignment="0" applyProtection="0"/>
    <xf numFmtId="0" fontId="3" fillId="0" borderId="0"/>
    <xf numFmtId="166" fontId="1" fillId="0" borderId="0" applyFont="0" applyFill="0" applyBorder="0" applyAlignment="0" applyProtection="0"/>
    <xf numFmtId="0" fontId="1" fillId="0" borderId="0"/>
    <xf numFmtId="167" fontId="14" fillId="0" borderId="0" applyFont="0" applyFill="0" applyBorder="0" applyAlignment="0" applyProtection="0"/>
    <xf numFmtId="167" fontId="1" fillId="0" borderId="0" applyFont="0" applyFill="0" applyBorder="0" applyAlignment="0" applyProtection="0"/>
    <xf numFmtId="0" fontId="14" fillId="0" borderId="0"/>
    <xf numFmtId="0" fontId="3" fillId="0" borderId="0"/>
    <xf numFmtId="0" fontId="16" fillId="0" borderId="0"/>
    <xf numFmtId="0" fontId="2" fillId="0" borderId="0"/>
    <xf numFmtId="0" fontId="16" fillId="0" borderId="0"/>
    <xf numFmtId="0" fontId="16" fillId="0" borderId="0"/>
    <xf numFmtId="0" fontId="16" fillId="0" borderId="0"/>
    <xf numFmtId="0" fontId="16" fillId="0" borderId="0"/>
    <xf numFmtId="0" fontId="16" fillId="0" borderId="0"/>
    <xf numFmtId="0" fontId="17"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8"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8" fillId="0" borderId="0"/>
    <xf numFmtId="169" fontId="19" fillId="0" borderId="0"/>
    <xf numFmtId="169" fontId="19" fillId="0" borderId="0"/>
    <xf numFmtId="169" fontId="18" fillId="0" borderId="0"/>
    <xf numFmtId="169" fontId="19" fillId="0" borderId="0"/>
    <xf numFmtId="169" fontId="19" fillId="0" borderId="0"/>
    <xf numFmtId="169" fontId="18" fillId="0" borderId="0"/>
    <xf numFmtId="169" fontId="19" fillId="0" borderId="0"/>
    <xf numFmtId="169" fontId="19" fillId="0" borderId="0"/>
    <xf numFmtId="169" fontId="19" fillId="0" borderId="0"/>
    <xf numFmtId="169" fontId="18"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8" fillId="0" borderId="0"/>
    <xf numFmtId="169" fontId="19" fillId="0" borderId="0"/>
    <xf numFmtId="169" fontId="19" fillId="0" borderId="0"/>
    <xf numFmtId="169" fontId="18" fillId="0" borderId="0"/>
    <xf numFmtId="169" fontId="19" fillId="0" borderId="0"/>
    <xf numFmtId="169" fontId="19" fillId="0" borderId="0"/>
    <xf numFmtId="169" fontId="18" fillId="0" borderId="0"/>
    <xf numFmtId="169" fontId="19" fillId="0" borderId="0"/>
    <xf numFmtId="169" fontId="18" fillId="0" borderId="0"/>
    <xf numFmtId="169" fontId="19"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8"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169" fontId="19" fillId="0" borderId="0"/>
    <xf numFmtId="0" fontId="19" fillId="0" borderId="0"/>
    <xf numFmtId="169" fontId="18" fillId="0" borderId="0"/>
    <xf numFmtId="169" fontId="18" fillId="0" borderId="0"/>
    <xf numFmtId="169" fontId="18" fillId="0" borderId="0"/>
    <xf numFmtId="169" fontId="19" fillId="0" borderId="0"/>
    <xf numFmtId="169" fontId="19" fillId="0" borderId="0"/>
    <xf numFmtId="169" fontId="20" fillId="0" borderId="0">
      <protection locked="0"/>
    </xf>
    <xf numFmtId="169" fontId="20" fillId="0" borderId="0">
      <protection locked="0"/>
    </xf>
    <xf numFmtId="169" fontId="20" fillId="0" borderId="0">
      <protection locked="0"/>
    </xf>
    <xf numFmtId="169" fontId="20" fillId="0" borderId="0">
      <protection locked="0"/>
    </xf>
    <xf numFmtId="169" fontId="20" fillId="0" borderId="11">
      <protection locked="0"/>
    </xf>
    <xf numFmtId="169" fontId="21" fillId="0" borderId="0">
      <protection locked="0"/>
    </xf>
    <xf numFmtId="169" fontId="21" fillId="0" borderId="0">
      <protection locked="0"/>
    </xf>
    <xf numFmtId="169" fontId="20" fillId="0" borderId="0">
      <protection locked="0"/>
    </xf>
    <xf numFmtId="169" fontId="20" fillId="0" borderId="0">
      <protection locked="0"/>
    </xf>
    <xf numFmtId="169" fontId="20" fillId="0" borderId="11">
      <protection locked="0"/>
    </xf>
    <xf numFmtId="169" fontId="20" fillId="0" borderId="0">
      <protection locked="0"/>
    </xf>
    <xf numFmtId="169" fontId="20" fillId="0" borderId="0">
      <protection locked="0"/>
    </xf>
    <xf numFmtId="169" fontId="20" fillId="0" borderId="0">
      <protection locked="0"/>
    </xf>
    <xf numFmtId="169" fontId="21" fillId="0" borderId="0">
      <protection locked="0"/>
    </xf>
    <xf numFmtId="169" fontId="21" fillId="0" borderId="0">
      <protection locked="0"/>
    </xf>
    <xf numFmtId="170" fontId="16" fillId="0" borderId="0">
      <alignment horizontal="center"/>
    </xf>
    <xf numFmtId="169" fontId="22" fillId="4" borderId="0"/>
    <xf numFmtId="0" fontId="22" fillId="4" borderId="0"/>
    <xf numFmtId="0" fontId="23" fillId="5"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7"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1" borderId="0" applyNumberFormat="0" applyBorder="0" applyAlignment="0" applyProtection="0"/>
    <xf numFmtId="0" fontId="23" fillId="11" borderId="0" applyNumberFormat="0" applyBorder="0" applyAlignment="0" applyProtection="0"/>
    <xf numFmtId="0" fontId="23" fillId="11" borderId="0" applyNumberFormat="0" applyBorder="0" applyAlignment="0" applyProtection="0"/>
    <xf numFmtId="0" fontId="23" fillId="11" borderId="0" applyNumberFormat="0" applyBorder="0" applyAlignment="0" applyProtection="0"/>
    <xf numFmtId="0" fontId="23" fillId="11"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2"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9" borderId="0" applyNumberFormat="0" applyBorder="0" applyAlignment="0" applyProtection="0"/>
    <xf numFmtId="0" fontId="23" fillId="9" borderId="0" applyNumberFormat="0" applyBorder="0" applyAlignment="0" applyProtection="0"/>
    <xf numFmtId="0" fontId="23" fillId="9" borderId="0" applyNumberFormat="0" applyBorder="0" applyAlignment="0" applyProtection="0"/>
    <xf numFmtId="0" fontId="23" fillId="9" borderId="0" applyNumberFormat="0" applyBorder="0" applyAlignment="0" applyProtection="0"/>
    <xf numFmtId="0" fontId="23" fillId="9" borderId="0" applyNumberFormat="0" applyBorder="0" applyAlignment="0" applyProtection="0"/>
    <xf numFmtId="0" fontId="23" fillId="8" borderId="0" applyNumberFormat="0" applyBorder="0" applyAlignment="0" applyProtection="0"/>
    <xf numFmtId="0" fontId="23" fillId="8" borderId="0" applyNumberFormat="0" applyBorder="0" applyAlignment="0" applyProtection="0"/>
    <xf numFmtId="0" fontId="23" fillId="8" borderId="0" applyNumberFormat="0" applyBorder="0" applyAlignment="0" applyProtection="0"/>
    <xf numFmtId="0" fontId="23" fillId="8"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14" borderId="0" applyNumberFormat="0" applyBorder="0" applyAlignment="0" applyProtection="0"/>
    <xf numFmtId="0" fontId="23" fillId="9" borderId="0" applyNumberFormat="0" applyBorder="0" applyAlignment="0" applyProtection="0"/>
    <xf numFmtId="0" fontId="23" fillId="7"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6" borderId="0" applyNumberFormat="0" applyBorder="0" applyAlignment="0" applyProtection="0"/>
    <xf numFmtId="0" fontId="23" fillId="6" borderId="0" applyNumberFormat="0" applyBorder="0" applyAlignment="0" applyProtection="0"/>
    <xf numFmtId="0" fontId="23" fillId="6" borderId="0" applyNumberFormat="0" applyBorder="0" applyAlignment="0" applyProtection="0"/>
    <xf numFmtId="0" fontId="23" fillId="6" borderId="0" applyNumberFormat="0" applyBorder="0" applyAlignment="0" applyProtection="0"/>
    <xf numFmtId="0" fontId="23" fillId="6" borderId="0" applyNumberFormat="0" applyBorder="0" applyAlignment="0" applyProtection="0"/>
    <xf numFmtId="0" fontId="23" fillId="15" borderId="0" applyNumberFormat="0" applyBorder="0" applyAlignment="0" applyProtection="0"/>
    <xf numFmtId="0" fontId="23" fillId="15" borderId="0" applyNumberFormat="0" applyBorder="0" applyAlignment="0" applyProtection="0"/>
    <xf numFmtId="0" fontId="23" fillId="15" borderId="0" applyNumberFormat="0" applyBorder="0" applyAlignment="0" applyProtection="0"/>
    <xf numFmtId="0" fontId="23" fillId="15" borderId="0" applyNumberFormat="0" applyBorder="0" applyAlignment="0" applyProtection="0"/>
    <xf numFmtId="0" fontId="23" fillId="15"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13"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5"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3" fillId="16" borderId="0" applyNumberFormat="0" applyBorder="0" applyAlignment="0" applyProtection="0"/>
    <xf numFmtId="0" fontId="24" fillId="9" borderId="0" applyNumberFormat="0" applyBorder="0" applyAlignment="0" applyProtection="0"/>
    <xf numFmtId="0" fontId="24" fillId="6" borderId="0" applyNumberFormat="0" applyBorder="0" applyAlignment="0" applyProtection="0"/>
    <xf numFmtId="0" fontId="24" fillId="16" borderId="0" applyNumberFormat="0" applyBorder="0" applyAlignment="0" applyProtection="0"/>
    <xf numFmtId="0" fontId="24" fillId="14" borderId="0" applyNumberFormat="0" applyBorder="0" applyAlignment="0" applyProtection="0"/>
    <xf numFmtId="0" fontId="24" fillId="9" borderId="0" applyNumberFormat="0" applyBorder="0" applyAlignment="0" applyProtection="0"/>
    <xf numFmtId="0" fontId="24" fillId="6"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6" borderId="0" applyNumberFormat="0" applyBorder="0" applyAlignment="0" applyProtection="0"/>
    <xf numFmtId="0" fontId="24" fillId="6" borderId="0" applyNumberFormat="0" applyBorder="0" applyAlignment="0" applyProtection="0"/>
    <xf numFmtId="0" fontId="24" fillId="6" borderId="0" applyNumberFormat="0" applyBorder="0" applyAlignment="0" applyProtection="0"/>
    <xf numFmtId="0" fontId="24" fillId="6"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20" borderId="0" applyNumberFormat="0" applyBorder="0" applyAlignment="0" applyProtection="0"/>
    <xf numFmtId="0" fontId="24" fillId="20" borderId="0" applyNumberFormat="0" applyBorder="0" applyAlignment="0" applyProtection="0"/>
    <xf numFmtId="0" fontId="24" fillId="20" borderId="0" applyNumberFormat="0" applyBorder="0" applyAlignment="0" applyProtection="0"/>
    <xf numFmtId="0" fontId="24" fillId="20" borderId="0" applyNumberFormat="0" applyBorder="0" applyAlignment="0" applyProtection="0"/>
    <xf numFmtId="171" fontId="22" fillId="0" borderId="0" applyFont="0" applyFill="0" applyBorder="0" applyAlignment="0" applyProtection="0"/>
    <xf numFmtId="172" fontId="22" fillId="0" borderId="0" applyFont="0" applyFill="0" applyBorder="0" applyAlignment="0" applyProtection="0"/>
    <xf numFmtId="0" fontId="24" fillId="19" borderId="0" applyNumberFormat="0" applyBorder="0" applyAlignment="0" applyProtection="0"/>
    <xf numFmtId="0" fontId="24" fillId="20" borderId="0" applyNumberFormat="0" applyBorder="0" applyAlignment="0" applyProtection="0"/>
    <xf numFmtId="0" fontId="24" fillId="16" borderId="0" applyNumberFormat="0" applyBorder="0" applyAlignment="0" applyProtection="0"/>
    <xf numFmtId="0" fontId="24" fillId="21" borderId="0" applyNumberFormat="0" applyBorder="0" applyAlignment="0" applyProtection="0"/>
    <xf numFmtId="0" fontId="24" fillId="19" borderId="0" applyNumberFormat="0" applyBorder="0" applyAlignment="0" applyProtection="0"/>
    <xf numFmtId="0" fontId="24" fillId="22" borderId="0" applyNumberFormat="0" applyBorder="0" applyAlignment="0" applyProtection="0"/>
    <xf numFmtId="169" fontId="25" fillId="0" borderId="0" applyNumberFormat="0" applyFill="0" applyBorder="0" applyAlignment="0" applyProtection="0">
      <alignment vertical="top"/>
      <protection locked="0"/>
    </xf>
    <xf numFmtId="0" fontId="26" fillId="11" borderId="0" applyNumberFormat="0" applyBorder="0" applyAlignment="0" applyProtection="0"/>
    <xf numFmtId="169" fontId="27" fillId="0" borderId="0"/>
    <xf numFmtId="169" fontId="27" fillId="0" borderId="0"/>
    <xf numFmtId="173" fontId="16" fillId="0" borderId="0" applyFill="0" applyBorder="0" applyAlignment="0"/>
    <xf numFmtId="174" fontId="28" fillId="0" borderId="0" applyFill="0" applyBorder="0" applyAlignment="0"/>
    <xf numFmtId="175" fontId="28" fillId="0" borderId="0" applyFill="0" applyBorder="0" applyAlignment="0"/>
    <xf numFmtId="176" fontId="16" fillId="0" borderId="0" applyFill="0" applyBorder="0" applyAlignment="0"/>
    <xf numFmtId="177" fontId="16" fillId="0" borderId="0" applyFill="0" applyBorder="0" applyAlignment="0"/>
    <xf numFmtId="173" fontId="16" fillId="0" borderId="0" applyFill="0" applyBorder="0" applyAlignment="0"/>
    <xf numFmtId="178" fontId="16" fillId="0" borderId="0" applyFill="0" applyBorder="0" applyAlignment="0"/>
    <xf numFmtId="174" fontId="28" fillId="0" borderId="0" applyFill="0" applyBorder="0" applyAlignment="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0" fontId="29" fillId="23" borderId="12" applyNumberFormat="0" applyAlignment="0" applyProtection="0"/>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37" fontId="30" fillId="24" borderId="7">
      <alignment horizontal="center" vertical="center"/>
    </xf>
    <xf numFmtId="0" fontId="31" fillId="25" borderId="13" applyNumberFormat="0" applyAlignment="0" applyProtection="0"/>
    <xf numFmtId="38" fontId="2" fillId="0" borderId="0" applyFont="0" applyFill="0" applyBorder="0" applyAlignment="0" applyProtection="0"/>
    <xf numFmtId="173" fontId="16"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15" fillId="0" borderId="0" applyFont="0" applyFill="0" applyBorder="0" applyAlignment="0" applyProtection="0"/>
    <xf numFmtId="179"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2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2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2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3" fillId="0" borderId="0" applyFont="0" applyFill="0" applyBorder="0" applyAlignment="0" applyProtection="0"/>
    <xf numFmtId="171" fontId="23" fillId="0" borderId="0" applyFont="0" applyFill="0" applyBorder="0" applyAlignment="0" applyProtection="0"/>
    <xf numFmtId="171"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15" fillId="0" borderId="0" applyFont="0" applyFill="0" applyBorder="0" applyAlignment="0" applyProtection="0"/>
    <xf numFmtId="167" fontId="16"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2" fillId="0" borderId="0" applyFont="0" applyFill="0" applyBorder="0" applyAlignment="0" applyProtection="0"/>
    <xf numFmtId="180" fontId="16" fillId="0" borderId="0" applyFont="0" applyFill="0" applyBorder="0" applyAlignment="0" applyProtection="0"/>
    <xf numFmtId="181" fontId="2" fillId="0" borderId="0" applyFont="0" applyFill="0" applyBorder="0" applyAlignment="0" applyProtection="0"/>
    <xf numFmtId="181" fontId="2" fillId="0" borderId="0" applyFont="0" applyFill="0" applyBorder="0" applyAlignment="0" applyProtection="0"/>
    <xf numFmtId="181" fontId="2" fillId="0" borderId="0" applyFont="0" applyFill="0" applyBorder="0" applyAlignment="0" applyProtection="0"/>
    <xf numFmtId="174" fontId="28"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82" fontId="15"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2" fontId="15" fillId="0" borderId="0" applyFont="0" applyFill="0" applyBorder="0" applyAlignment="0" applyProtection="0"/>
    <xf numFmtId="183" fontId="2" fillId="0" borderId="0" applyFont="0" applyFill="0" applyBorder="0" applyAlignment="0" applyProtection="0"/>
    <xf numFmtId="178" fontId="16" fillId="0" borderId="0" applyFont="0" applyFill="0" applyBorder="0" applyAlignment="0" applyProtection="0"/>
    <xf numFmtId="14" fontId="33" fillId="0" borderId="0" applyFont="0" applyBorder="0">
      <alignment vertical="top"/>
    </xf>
    <xf numFmtId="14" fontId="34" fillId="0" borderId="0" applyFill="0" applyBorder="0" applyAlignment="0"/>
    <xf numFmtId="184" fontId="16" fillId="0" borderId="14">
      <alignment vertical="center"/>
    </xf>
    <xf numFmtId="169" fontId="35" fillId="0" borderId="0" applyNumberFormat="0" applyFill="0" applyBorder="0" applyAlignment="0" applyProtection="0"/>
    <xf numFmtId="173" fontId="16" fillId="0" borderId="0" applyFill="0" applyBorder="0" applyAlignment="0"/>
    <xf numFmtId="174" fontId="28" fillId="0" borderId="0" applyFill="0" applyBorder="0" applyAlignment="0"/>
    <xf numFmtId="173" fontId="16" fillId="0" borderId="0" applyFill="0" applyBorder="0" applyAlignment="0"/>
    <xf numFmtId="178" fontId="16" fillId="0" borderId="0" applyFill="0" applyBorder="0" applyAlignment="0"/>
    <xf numFmtId="174" fontId="28" fillId="0" borderId="0" applyFill="0" applyBorder="0" applyAlignment="0"/>
    <xf numFmtId="169" fontId="1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69" fontId="16" fillId="0" borderId="0" applyFont="0" applyFill="0" applyBorder="0" applyAlignment="0" applyProtection="0"/>
    <xf numFmtId="169" fontId="16" fillId="0" borderId="0" applyFont="0" applyFill="0" applyBorder="0" applyAlignment="0" applyProtection="0"/>
    <xf numFmtId="169" fontId="1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69" fontId="36" fillId="0" borderId="0" applyFont="0" applyFill="0" applyBorder="0" applyAlignment="0" applyProtection="0"/>
    <xf numFmtId="185" fontId="37" fillId="0" borderId="0"/>
    <xf numFmtId="0" fontId="23" fillId="0" borderId="0"/>
    <xf numFmtId="0" fontId="37" fillId="0" borderId="0"/>
    <xf numFmtId="0" fontId="23" fillId="0" borderId="0"/>
    <xf numFmtId="0" fontId="23" fillId="0" borderId="0"/>
    <xf numFmtId="0" fontId="38" fillId="0" borderId="0"/>
    <xf numFmtId="0" fontId="23" fillId="0" borderId="0"/>
    <xf numFmtId="186" fontId="37" fillId="0" borderId="0"/>
    <xf numFmtId="187" fontId="39" fillId="0" borderId="0"/>
    <xf numFmtId="0" fontId="40" fillId="0" borderId="0" applyNumberFormat="0" applyFill="0" applyBorder="0" applyAlignment="0" applyProtection="0"/>
    <xf numFmtId="169" fontId="20" fillId="0" borderId="0">
      <protection locked="0"/>
    </xf>
    <xf numFmtId="169" fontId="20" fillId="0" borderId="0">
      <protection locked="0"/>
    </xf>
    <xf numFmtId="169" fontId="41" fillId="0" borderId="0">
      <protection locked="0"/>
    </xf>
    <xf numFmtId="169" fontId="20" fillId="0" borderId="0">
      <protection locked="0"/>
    </xf>
    <xf numFmtId="169" fontId="20" fillId="0" borderId="0">
      <protection locked="0"/>
    </xf>
    <xf numFmtId="169" fontId="20" fillId="0" borderId="0">
      <protection locked="0"/>
    </xf>
    <xf numFmtId="169" fontId="41" fillId="0" borderId="0">
      <protection locked="0"/>
    </xf>
    <xf numFmtId="169" fontId="2" fillId="0" borderId="0"/>
    <xf numFmtId="169" fontId="42" fillId="0" borderId="0" applyNumberFormat="0" applyFill="0" applyBorder="0" applyAlignment="0" applyProtection="0">
      <alignment vertical="top"/>
      <protection locked="0"/>
    </xf>
    <xf numFmtId="0" fontId="43" fillId="9" borderId="0" applyNumberFormat="0" applyBorder="0" applyAlignment="0" applyProtection="0"/>
    <xf numFmtId="169" fontId="44" fillId="0" borderId="9" applyNumberFormat="0" applyAlignment="0" applyProtection="0">
      <alignment horizontal="left" vertical="center"/>
    </xf>
    <xf numFmtId="169" fontId="44" fillId="0" borderId="9" applyNumberFormat="0" applyAlignment="0" applyProtection="0">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169" fontId="44" fillId="0" borderId="15">
      <alignment horizontal="left" vertical="center"/>
    </xf>
    <xf numFmtId="0" fontId="45" fillId="0" borderId="16" applyNumberFormat="0" applyFill="0" applyAlignment="0" applyProtection="0"/>
    <xf numFmtId="0" fontId="45" fillId="0" borderId="16" applyNumberFormat="0" applyFill="0" applyAlignment="0" applyProtection="0"/>
    <xf numFmtId="0" fontId="46" fillId="0" borderId="17" applyNumberFormat="0" applyFill="0" applyAlignment="0" applyProtection="0"/>
    <xf numFmtId="0" fontId="46" fillId="0" borderId="17" applyNumberFormat="0" applyFill="0" applyAlignment="0" applyProtection="0"/>
    <xf numFmtId="0" fontId="47" fillId="0" borderId="18" applyNumberFormat="0" applyFill="0" applyAlignment="0" applyProtection="0"/>
    <xf numFmtId="0" fontId="47" fillId="0" borderId="0" applyNumberFormat="0" applyFill="0" applyBorder="0" applyAlignment="0" applyProtection="0"/>
    <xf numFmtId="169" fontId="48" fillId="0" borderId="0"/>
    <xf numFmtId="169" fontId="49" fillId="0" borderId="0"/>
    <xf numFmtId="169" fontId="50" fillId="0" borderId="0"/>
    <xf numFmtId="169" fontId="15" fillId="0" borderId="0"/>
    <xf numFmtId="169" fontId="51" fillId="0" borderId="0"/>
    <xf numFmtId="169" fontId="52" fillId="0" borderId="0"/>
    <xf numFmtId="169" fontId="2" fillId="0" borderId="0">
      <alignment horizontal="center"/>
    </xf>
    <xf numFmtId="0" fontId="53" fillId="0" borderId="0" applyNumberFormat="0" applyFill="0" applyBorder="0" applyAlignment="0" applyProtection="0">
      <alignment vertical="top"/>
      <protection locked="0"/>
    </xf>
    <xf numFmtId="0" fontId="25" fillId="0" borderId="0" applyNumberFormat="0" applyFill="0" applyBorder="0" applyAlignment="0" applyProtection="0">
      <alignment vertical="top"/>
      <protection locked="0"/>
    </xf>
    <xf numFmtId="0" fontId="54" fillId="0" borderId="0" applyNumberFormat="0" applyFill="0" applyBorder="0" applyAlignment="0" applyProtection="0">
      <alignment vertical="top"/>
      <protection locked="0"/>
    </xf>
    <xf numFmtId="0" fontId="55" fillId="0" borderId="0" applyNumberFormat="0" applyFill="0" applyBorder="0" applyAlignment="0" applyProtection="0"/>
    <xf numFmtId="169" fontId="25" fillId="0" borderId="0" applyNumberFormat="0" applyFill="0" applyBorder="0" applyAlignment="0" applyProtection="0">
      <alignment vertical="top"/>
      <protection locked="0"/>
    </xf>
    <xf numFmtId="169" fontId="22" fillId="0" borderId="0"/>
    <xf numFmtId="2" fontId="56" fillId="0" borderId="0"/>
    <xf numFmtId="2" fontId="56" fillId="0" borderId="0"/>
    <xf numFmtId="169" fontId="57" fillId="0" borderId="0" applyNumberFormat="0" applyFill="0" applyBorder="0" applyAlignment="0">
      <protection locked="0"/>
    </xf>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0" fontId="58" fillId="6" borderId="12" applyNumberFormat="0" applyAlignment="0" applyProtection="0"/>
    <xf numFmtId="169" fontId="42" fillId="0" borderId="0" applyNumberFormat="0" applyFill="0" applyBorder="0" applyAlignment="0" applyProtection="0">
      <alignment vertical="top"/>
      <protection locked="0"/>
    </xf>
    <xf numFmtId="169" fontId="59" fillId="0" borderId="0">
      <alignment vertical="center"/>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3" fontId="60" fillId="26" borderId="7">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68" fontId="61" fillId="27" borderId="7">
      <alignment horizontal="left"/>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88" fontId="61" fillId="27" borderId="7">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69" fontId="61" fillId="27" borderId="7">
      <alignment horizontal="center"/>
      <protection locked="0"/>
    </xf>
    <xf numFmtId="173" fontId="16" fillId="0" borderId="0" applyFill="0" applyBorder="0" applyAlignment="0"/>
    <xf numFmtId="174" fontId="28" fillId="0" borderId="0" applyFill="0" applyBorder="0" applyAlignment="0"/>
    <xf numFmtId="173" fontId="16" fillId="0" borderId="0" applyFill="0" applyBorder="0" applyAlignment="0"/>
    <xf numFmtId="178" fontId="16" fillId="0" borderId="0" applyFill="0" applyBorder="0" applyAlignment="0"/>
    <xf numFmtId="174" fontId="28" fillId="0" borderId="0" applyFill="0" applyBorder="0" applyAlignment="0"/>
    <xf numFmtId="0" fontId="62" fillId="0" borderId="19" applyNumberFormat="0" applyFill="0" applyAlignment="0" applyProtection="0"/>
    <xf numFmtId="169" fontId="2" fillId="0" borderId="0">
      <alignment horizontal="center"/>
    </xf>
    <xf numFmtId="164" fontId="2" fillId="0" borderId="0" applyFont="0" applyFill="0" applyBorder="0" applyAlignment="0" applyProtection="0"/>
    <xf numFmtId="165" fontId="2" fillId="0" borderId="0" applyFont="0" applyFill="0" applyBorder="0" applyAlignment="0" applyProtection="0"/>
    <xf numFmtId="189" fontId="56" fillId="0" borderId="0"/>
    <xf numFmtId="189" fontId="56" fillId="0" borderId="0"/>
    <xf numFmtId="190" fontId="2" fillId="0" borderId="0" applyFont="0" applyFill="0" applyBorder="0" applyAlignment="0" applyProtection="0"/>
    <xf numFmtId="191" fontId="2" fillId="0" borderId="0" applyFont="0" applyFill="0" applyBorder="0" applyAlignment="0" applyProtection="0"/>
    <xf numFmtId="0" fontId="63" fillId="28" borderId="0" applyNumberFormat="0" applyBorder="0" applyAlignment="0" applyProtection="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0" fontId="22" fillId="0" borderId="20"/>
    <xf numFmtId="0" fontId="22" fillId="0" borderId="20"/>
    <xf numFmtId="0" fontId="22" fillId="0" borderId="20"/>
    <xf numFmtId="0" fontId="22" fillId="0" borderId="20"/>
    <xf numFmtId="0" fontId="22" fillId="0" borderId="20"/>
    <xf numFmtId="0" fontId="22" fillId="0" borderId="20"/>
    <xf numFmtId="0" fontId="22" fillId="0" borderId="20"/>
    <xf numFmtId="0" fontId="22" fillId="0" borderId="20"/>
    <xf numFmtId="0"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22" fillId="0" borderId="20"/>
    <xf numFmtId="169" fontId="64" fillId="0" borderId="0" applyNumberFormat="0" applyFill="0" applyBorder="0" applyAlignment="0" applyProtection="0"/>
    <xf numFmtId="0" fontId="16" fillId="0" borderId="0"/>
    <xf numFmtId="0" fontId="2"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 fillId="0" borderId="0"/>
    <xf numFmtId="0" fontId="2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16" fillId="0" borderId="0"/>
    <xf numFmtId="0" fontId="15" fillId="0" borderId="0"/>
    <xf numFmtId="0" fontId="65" fillId="0" borderId="0"/>
    <xf numFmtId="169" fontId="18" fillId="0" borderId="0"/>
    <xf numFmtId="169" fontId="2" fillId="0" borderId="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38" fontId="22" fillId="0" borderId="0" applyFont="0" applyFill="0" applyBorder="0" applyAlignment="0" applyProtection="0"/>
    <xf numFmtId="40" fontId="22" fillId="0" borderId="0" applyFont="0" applyFill="0" applyBorder="0" applyAlignment="0" applyProtection="0"/>
    <xf numFmtId="169" fontId="2" fillId="0" borderId="0"/>
    <xf numFmtId="169" fontId="66" fillId="0" borderId="0"/>
    <xf numFmtId="38" fontId="22" fillId="0" borderId="0" applyFont="0" applyFill="0" applyBorder="0" applyAlignment="0" applyProtection="0"/>
    <xf numFmtId="40" fontId="22" fillId="0" borderId="0" applyFont="0" applyFill="0" applyBorder="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0" fontId="67" fillId="23" borderId="22" applyNumberFormat="0" applyAlignment="0" applyProtection="0"/>
    <xf numFmtId="169" fontId="68" fillId="0" borderId="0" applyNumberFormat="0" applyFill="0" applyBorder="0" applyAlignment="0">
      <protection locked="0"/>
    </xf>
    <xf numFmtId="169" fontId="69" fillId="0" borderId="0"/>
    <xf numFmtId="169" fontId="70" fillId="29" borderId="0">
      <alignment vertical="center"/>
    </xf>
    <xf numFmtId="192" fontId="71" fillId="0" borderId="0" applyFont="0" applyFill="0" applyBorder="0" applyAlignment="0" applyProtection="0"/>
    <xf numFmtId="177" fontId="16" fillId="0" borderId="0" applyFont="0" applyFill="0" applyBorder="0" applyAlignment="0" applyProtection="0"/>
    <xf numFmtId="180" fontId="16"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193" fontId="16" fillId="0" borderId="0" applyFont="0" applyFill="0" applyBorder="0" applyAlignment="0" applyProtection="0"/>
    <xf numFmtId="173" fontId="16" fillId="0" borderId="0" applyFill="0" applyBorder="0" applyAlignment="0"/>
    <xf numFmtId="174" fontId="28" fillId="0" borderId="0" applyFill="0" applyBorder="0" applyAlignment="0"/>
    <xf numFmtId="173" fontId="16" fillId="0" borderId="0" applyFill="0" applyBorder="0" applyAlignment="0"/>
    <xf numFmtId="178" fontId="16" fillId="0" borderId="0" applyFill="0" applyBorder="0" applyAlignment="0"/>
    <xf numFmtId="174" fontId="28" fillId="0" borderId="0" applyFill="0" applyBorder="0" applyAlignment="0"/>
    <xf numFmtId="169" fontId="2" fillId="0" borderId="0"/>
    <xf numFmtId="169" fontId="72" fillId="0" borderId="0">
      <alignment horizontal="left"/>
    </xf>
    <xf numFmtId="169" fontId="72" fillId="0" borderId="0">
      <alignment horizontal="right"/>
    </xf>
    <xf numFmtId="169" fontId="69" fillId="0" borderId="0"/>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169" fontId="73" fillId="30" borderId="7">
      <alignment horizontal="centerContinuous" vertical="center" wrapText="1"/>
      <protection locked="0"/>
    </xf>
    <xf numFmtId="0" fontId="74" fillId="0" borderId="0">
      <alignment horizontal="left" vertical="top"/>
    </xf>
    <xf numFmtId="0" fontId="75" fillId="0" borderId="0">
      <alignment horizontal="right" vertical="top"/>
    </xf>
    <xf numFmtId="0" fontId="76" fillId="0" borderId="0">
      <alignment horizontal="center" vertical="top"/>
    </xf>
    <xf numFmtId="0" fontId="77" fillId="0" borderId="0">
      <alignment horizontal="center"/>
    </xf>
    <xf numFmtId="0" fontId="78" fillId="0" borderId="0">
      <alignment horizontal="center" vertical="center"/>
    </xf>
    <xf numFmtId="0" fontId="78" fillId="0" borderId="0">
      <alignment horizontal="left" vertical="center"/>
    </xf>
    <xf numFmtId="0" fontId="78" fillId="0" borderId="0">
      <alignment horizontal="left" vertical="center"/>
    </xf>
    <xf numFmtId="0" fontId="78" fillId="0" borderId="0">
      <alignment horizontal="left"/>
    </xf>
    <xf numFmtId="0" fontId="78" fillId="0" borderId="0">
      <alignment horizontal="right"/>
    </xf>
    <xf numFmtId="0" fontId="78" fillId="0" borderId="0">
      <alignment horizontal="left"/>
    </xf>
    <xf numFmtId="0" fontId="78" fillId="0" borderId="0">
      <alignment horizontal="left" vertical="top"/>
    </xf>
    <xf numFmtId="0" fontId="78" fillId="0" borderId="0">
      <alignment horizontal="left" vertical="top"/>
    </xf>
    <xf numFmtId="0" fontId="79" fillId="0" borderId="0">
      <alignment horizontal="right" vertical="center"/>
    </xf>
    <xf numFmtId="0" fontId="78" fillId="0" borderId="0">
      <alignment horizontal="right" vertical="top"/>
    </xf>
    <xf numFmtId="0" fontId="78" fillId="0" borderId="0">
      <alignment horizontal="left" vertical="top"/>
    </xf>
    <xf numFmtId="0" fontId="78" fillId="0" borderId="0">
      <alignment horizontal="left" vertical="top"/>
    </xf>
    <xf numFmtId="0" fontId="78" fillId="0" borderId="0">
      <alignment horizontal="left" vertical="top"/>
    </xf>
    <xf numFmtId="0" fontId="74" fillId="0" borderId="0">
      <alignment horizontal="center" vertical="center"/>
    </xf>
    <xf numFmtId="0" fontId="74" fillId="0" borderId="0">
      <alignment horizontal="center" vertical="center"/>
    </xf>
    <xf numFmtId="0" fontId="74" fillId="0" borderId="0">
      <alignment horizontal="center" vertical="center"/>
    </xf>
    <xf numFmtId="0" fontId="74" fillId="0" borderId="0">
      <alignment horizontal="center" vertical="center"/>
    </xf>
    <xf numFmtId="0" fontId="74" fillId="0" borderId="0">
      <alignment horizontal="center" vertical="center"/>
    </xf>
    <xf numFmtId="0" fontId="74" fillId="0" borderId="0">
      <alignment horizontal="center" vertical="center"/>
    </xf>
    <xf numFmtId="0" fontId="80" fillId="0" borderId="0">
      <alignment horizontal="left" vertical="center"/>
    </xf>
    <xf numFmtId="0" fontId="74" fillId="0" borderId="0">
      <alignment horizontal="center" vertical="center"/>
    </xf>
    <xf numFmtId="0" fontId="74" fillId="0" borderId="0">
      <alignment horizontal="center" vertical="center"/>
    </xf>
    <xf numFmtId="0" fontId="74" fillId="0" borderId="0">
      <alignment horizontal="center" vertical="center"/>
    </xf>
    <xf numFmtId="0" fontId="79" fillId="0" borderId="0">
      <alignment horizontal="center" vertical="center"/>
    </xf>
    <xf numFmtId="0" fontId="74" fillId="0" borderId="0">
      <alignment horizontal="center" vertical="top"/>
    </xf>
    <xf numFmtId="0" fontId="74" fillId="0" borderId="0">
      <alignment horizontal="left" vertical="top"/>
    </xf>
    <xf numFmtId="0" fontId="74" fillId="0" borderId="0">
      <alignment horizontal="right" vertical="top"/>
    </xf>
    <xf numFmtId="0" fontId="74" fillId="0" borderId="0">
      <alignment horizontal="right" vertical="top"/>
    </xf>
    <xf numFmtId="0" fontId="74" fillId="0" borderId="0">
      <alignment horizontal="right" vertical="top"/>
    </xf>
    <xf numFmtId="0" fontId="79" fillId="0" borderId="0">
      <alignment horizontal="left" vertical="top"/>
    </xf>
    <xf numFmtId="0" fontId="80" fillId="0" borderId="0">
      <alignment horizontal="left" vertical="center"/>
    </xf>
    <xf numFmtId="0" fontId="81" fillId="0" borderId="0">
      <alignment horizontal="right" vertical="top"/>
    </xf>
    <xf numFmtId="0" fontId="79" fillId="0" borderId="0">
      <alignment horizontal="right" vertical="top"/>
    </xf>
    <xf numFmtId="0" fontId="81" fillId="0" borderId="0">
      <alignment horizontal="right" vertical="top"/>
    </xf>
    <xf numFmtId="0" fontId="79" fillId="0" borderId="0">
      <alignment horizontal="right" vertical="top"/>
    </xf>
    <xf numFmtId="0" fontId="79" fillId="0" borderId="0">
      <alignment horizontal="right" vertical="top"/>
    </xf>
    <xf numFmtId="0" fontId="80" fillId="0" borderId="0">
      <alignment horizontal="left" vertical="top"/>
    </xf>
    <xf numFmtId="0" fontId="80" fillId="0" borderId="0">
      <alignment horizontal="right" vertical="center"/>
    </xf>
    <xf numFmtId="0" fontId="80" fillId="0" borderId="0">
      <alignment horizontal="left" vertical="center"/>
    </xf>
    <xf numFmtId="0" fontId="80" fillId="0" borderId="0">
      <alignment horizontal="left" vertical="top"/>
    </xf>
    <xf numFmtId="0" fontId="80" fillId="0" borderId="0">
      <alignment horizontal="left" vertical="center"/>
    </xf>
    <xf numFmtId="0" fontId="78" fillId="0" borderId="0">
      <alignment horizontal="left" vertical="top"/>
    </xf>
    <xf numFmtId="0" fontId="80" fillId="0" borderId="0">
      <alignment horizontal="left" vertical="center"/>
    </xf>
    <xf numFmtId="0" fontId="82" fillId="0" borderId="0">
      <alignment horizontal="left" vertical="center"/>
    </xf>
    <xf numFmtId="0" fontId="82" fillId="0" borderId="0">
      <alignment horizontal="left" vertical="top"/>
    </xf>
    <xf numFmtId="0" fontId="78" fillId="0" borderId="0">
      <alignment horizontal="center"/>
    </xf>
    <xf numFmtId="0" fontId="83" fillId="31" borderId="23" applyNumberFormat="0" applyProtection="0">
      <alignment horizontal="left" vertical="center" indent="1"/>
    </xf>
    <xf numFmtId="169" fontId="72" fillId="0" borderId="0"/>
    <xf numFmtId="169" fontId="61" fillId="0" borderId="0"/>
    <xf numFmtId="194" fontId="37" fillId="0" borderId="0" applyBorder="0" applyProtection="0"/>
    <xf numFmtId="0" fontId="84" fillId="0" borderId="0"/>
    <xf numFmtId="194" fontId="37" fillId="0" borderId="0" applyBorder="0" applyProtection="0"/>
    <xf numFmtId="0" fontId="37" fillId="0" borderId="0"/>
    <xf numFmtId="49" fontId="34" fillId="0" borderId="0" applyFill="0" applyBorder="0" applyAlignment="0"/>
    <xf numFmtId="193" fontId="16" fillId="0" borderId="0" applyFill="0" applyBorder="0" applyAlignment="0"/>
    <xf numFmtId="195" fontId="16" fillId="0" borderId="0" applyFill="0" applyBorder="0" applyAlignment="0"/>
    <xf numFmtId="0" fontId="85" fillId="0" borderId="0" applyNumberFormat="0" applyFill="0" applyBorder="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0" fontId="86" fillId="0" borderId="24" applyNumberFormat="0" applyFill="0" applyAlignment="0" applyProtection="0"/>
    <xf numFmtId="169" fontId="2" fillId="0" borderId="0"/>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0" fontId="71" fillId="0" borderId="7">
      <alignment horizontal="left"/>
    </xf>
    <xf numFmtId="169" fontId="10" fillId="0" borderId="0"/>
    <xf numFmtId="169" fontId="2" fillId="0" borderId="0">
      <alignment horizontal="center" vertical="center" textRotation="180"/>
    </xf>
    <xf numFmtId="169" fontId="10" fillId="0" borderId="0"/>
    <xf numFmtId="0" fontId="62" fillId="0" borderId="0" applyNumberFormat="0" applyFill="0" applyBorder="0" applyAlignment="0" applyProtection="0"/>
    <xf numFmtId="0" fontId="24" fillId="32" borderId="0" applyNumberFormat="0" applyBorder="0" applyAlignment="0" applyProtection="0"/>
    <xf numFmtId="0" fontId="24" fillId="32" borderId="0" applyNumberFormat="0" applyBorder="0" applyAlignment="0" applyProtection="0"/>
    <xf numFmtId="0" fontId="24" fillId="32" borderId="0" applyNumberFormat="0" applyBorder="0" applyAlignment="0" applyProtection="0"/>
    <xf numFmtId="0" fontId="24" fillId="32" borderId="0" applyNumberFormat="0" applyBorder="0" applyAlignment="0" applyProtection="0"/>
    <xf numFmtId="0" fontId="24" fillId="22" borderId="0" applyNumberFormat="0" applyBorder="0" applyAlignment="0" applyProtection="0"/>
    <xf numFmtId="0" fontId="24" fillId="22" borderId="0" applyNumberFormat="0" applyBorder="0" applyAlignment="0" applyProtection="0"/>
    <xf numFmtId="0" fontId="24" fillId="22" borderId="0" applyNumberFormat="0" applyBorder="0" applyAlignment="0" applyProtection="0"/>
    <xf numFmtId="0" fontId="24" fillId="22" borderId="0" applyNumberFormat="0" applyBorder="0" applyAlignment="0" applyProtection="0"/>
    <xf numFmtId="0" fontId="24" fillId="33" borderId="0" applyNumberFormat="0" applyBorder="0" applyAlignment="0" applyProtection="0"/>
    <xf numFmtId="0" fontId="24" fillId="33" borderId="0" applyNumberFormat="0" applyBorder="0" applyAlignment="0" applyProtection="0"/>
    <xf numFmtId="0" fontId="24" fillId="33" borderId="0" applyNumberFormat="0" applyBorder="0" applyAlignment="0" applyProtection="0"/>
    <xf numFmtId="0" fontId="24" fillId="33"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34" borderId="0" applyNumberFormat="0" applyBorder="0" applyAlignment="0" applyProtection="0"/>
    <xf numFmtId="0" fontId="24" fillId="34" borderId="0" applyNumberFormat="0" applyBorder="0" applyAlignment="0" applyProtection="0"/>
    <xf numFmtId="0" fontId="24" fillId="34" borderId="0" applyNumberFormat="0" applyBorder="0" applyAlignment="0" applyProtection="0"/>
    <xf numFmtId="0" fontId="24" fillId="34" borderId="0" applyNumberFormat="0" applyBorder="0" applyAlignment="0" applyProtection="0"/>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174" fontId="37" fillId="0" borderId="25">
      <protection locked="0"/>
    </xf>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58" fillId="8" borderId="1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67" fillId="14" borderId="2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87" fillId="14" borderId="12" applyNumberFormat="0" applyAlignment="0" applyProtection="0"/>
    <xf numFmtId="0" fontId="23" fillId="0" borderId="0"/>
    <xf numFmtId="0" fontId="88" fillId="0" borderId="0" applyNumberFormat="0" applyFill="0" applyBorder="0" applyAlignment="0" applyProtection="0">
      <alignment vertical="top"/>
      <protection locked="0"/>
    </xf>
    <xf numFmtId="0" fontId="89" fillId="0" borderId="0" applyNumberFormat="0" applyFill="0" applyBorder="0" applyAlignment="0" applyProtection="0"/>
    <xf numFmtId="0" fontId="90" fillId="0" borderId="0" applyNumberFormat="0" applyFill="0" applyBorder="0" applyAlignment="0" applyProtection="0">
      <alignment vertical="top"/>
      <protection locked="0"/>
    </xf>
    <xf numFmtId="0" fontId="91" fillId="0" borderId="0" applyNumberFormat="0" applyFill="0" applyBorder="0" applyAlignment="0" applyProtection="0"/>
    <xf numFmtId="0" fontId="92" fillId="0" borderId="0" applyNumberFormat="0" applyFill="0" applyBorder="0" applyAlignment="0" applyProtection="0"/>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9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53" fillId="0" borderId="0" applyNumberFormat="0" applyFill="0" applyBorder="0" applyAlignment="0" applyProtection="0">
      <alignment vertical="top"/>
      <protection locked="0"/>
    </xf>
    <xf numFmtId="0" fontId="94" fillId="0" borderId="0" applyNumberFormat="0" applyFill="0" applyBorder="0" applyAlignment="0" applyProtection="0">
      <alignment vertical="top"/>
      <protection locked="0"/>
    </xf>
    <xf numFmtId="0" fontId="95" fillId="0" borderId="0" applyNumberFormat="0" applyFill="0" applyBorder="0" applyAlignment="0" applyProtection="0"/>
    <xf numFmtId="0" fontId="25" fillId="0" borderId="0" applyNumberFormat="0" applyFill="0" applyBorder="0" applyAlignment="0" applyProtection="0">
      <alignment vertical="top"/>
      <protection locked="0"/>
    </xf>
    <xf numFmtId="0" fontId="54" fillId="0" borderId="0" applyNumberFormat="0" applyFill="0" applyBorder="0" applyAlignment="0" applyProtection="0">
      <alignment vertical="top"/>
      <protection locked="0"/>
    </xf>
    <xf numFmtId="0" fontId="92"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96" fillId="0" borderId="0" applyNumberFormat="0" applyFill="0" applyBorder="0" applyAlignment="0" applyProtection="0">
      <alignment vertical="top"/>
      <protection locked="0"/>
    </xf>
    <xf numFmtId="0" fontId="91" fillId="0" borderId="0" applyNumberFormat="0" applyFill="0" applyBorder="0" applyAlignment="0" applyProtection="0"/>
    <xf numFmtId="0" fontId="91" fillId="0" borderId="0" applyNumberFormat="0" applyFill="0" applyBorder="0" applyAlignment="0" applyProtection="0"/>
    <xf numFmtId="0" fontId="97" fillId="0" borderId="0" applyNumberFormat="0" applyFill="0" applyBorder="0" applyAlignment="0" applyProtection="0">
      <alignment vertical="top"/>
      <protection locked="0"/>
    </xf>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25" fillId="0" borderId="0" applyNumberFormat="0" applyFill="0" applyBorder="0" applyAlignment="0" applyProtection="0"/>
    <xf numFmtId="0" fontId="98" fillId="0" borderId="7" applyNumberFormat="0" applyBorder="0" applyAlignment="0" applyProtection="0">
      <alignment horizontal="center" vertical="center" wrapText="1"/>
      <protection hidden="1"/>
    </xf>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82" fontId="15"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82" fontId="15"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96" fontId="2" fillId="0" borderId="0" applyFill="0" applyBorder="0" applyAlignment="0" applyProtection="0"/>
    <xf numFmtId="197" fontId="37" fillId="0" borderId="0" applyFill="0" applyBorder="0" applyAlignment="0" applyProtection="0"/>
    <xf numFmtId="196" fontId="2" fillId="0" borderId="0" applyFill="0" applyBorder="0" applyAlignment="0" applyProtection="0"/>
    <xf numFmtId="196" fontId="2" fillId="0" borderId="0" applyFill="0" applyBorder="0" applyAlignment="0" applyProtection="0"/>
    <xf numFmtId="175" fontId="2" fillId="0" borderId="0" applyFont="0" applyFill="0" applyBorder="0" applyAlignment="0" applyProtection="0"/>
    <xf numFmtId="175" fontId="2" fillId="0" borderId="0" applyFont="0" applyFill="0" applyBorder="0" applyAlignment="0" applyProtection="0"/>
    <xf numFmtId="198" fontId="99" fillId="0" borderId="0" applyFill="0" applyBorder="0" applyAlignment="0" applyProtection="0"/>
    <xf numFmtId="166" fontId="1" fillId="0" borderId="0" applyFont="0" applyFill="0" applyBorder="0" applyAlignment="0" applyProtection="0"/>
    <xf numFmtId="166" fontId="100" fillId="0" borderId="0" applyFont="0" applyFill="0" applyBorder="0" applyAlignment="0" applyProtection="0"/>
    <xf numFmtId="183" fontId="2" fillId="0" borderId="0" applyFont="0" applyFill="0" applyBorder="0" applyAlignment="0" applyProtection="0"/>
    <xf numFmtId="166" fontId="16" fillId="0" borderId="0" applyFont="0" applyFill="0" applyBorder="0" applyAlignment="0" applyProtection="0"/>
    <xf numFmtId="183" fontId="2" fillId="0" borderId="0" applyFont="0" applyFill="0" applyBorder="0" applyAlignment="0" applyProtection="0"/>
    <xf numFmtId="199" fontId="99" fillId="0" borderId="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96" fontId="2" fillId="0" borderId="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97" fontId="99" fillId="0" borderId="0" applyFill="0" applyBorder="0" applyAlignment="0" applyProtection="0"/>
    <xf numFmtId="183" fontId="2" fillId="0" borderId="0" applyFont="0" applyFill="0" applyBorder="0" applyAlignment="0" applyProtection="0"/>
    <xf numFmtId="200" fontId="99" fillId="0" borderId="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91" fontId="99" fillId="0" borderId="0" applyFill="0" applyBorder="0" applyAlignment="0" applyProtection="0"/>
    <xf numFmtId="166" fontId="32" fillId="0" borderId="0" applyFont="0" applyFill="0" applyBorder="0" applyAlignment="0" applyProtection="0"/>
    <xf numFmtId="166" fontId="32" fillId="0" borderId="0" applyFont="0" applyFill="0" applyBorder="0" applyAlignment="0" applyProtection="0"/>
    <xf numFmtId="166" fontId="16" fillId="0" borderId="0" applyFont="0" applyFill="0" applyBorder="0" applyAlignment="0" applyProtection="0"/>
    <xf numFmtId="191" fontId="2" fillId="0" borderId="0" applyFont="0" applyFill="0" applyBorder="0" applyAlignment="0" applyProtection="0"/>
    <xf numFmtId="166" fontId="16" fillId="0" borderId="0" applyFont="0" applyFill="0" applyBorder="0" applyAlignment="0" applyProtection="0"/>
    <xf numFmtId="182" fontId="15" fillId="0" borderId="0" applyFont="0" applyFill="0" applyBorder="0" applyAlignment="0" applyProtection="0"/>
    <xf numFmtId="191" fontId="2" fillId="0" borderId="0" applyFont="0" applyFill="0" applyBorder="0" applyAlignment="0" applyProtection="0"/>
    <xf numFmtId="166" fontId="14" fillId="0" borderId="0" applyFont="0" applyFill="0" applyBorder="0" applyAlignment="0" applyProtection="0"/>
    <xf numFmtId="166" fontId="32" fillId="0" borderId="0" applyFont="0" applyFill="0" applyBorder="0" applyAlignment="0" applyProtection="0"/>
    <xf numFmtId="191" fontId="2" fillId="0" borderId="0" applyFont="0" applyFill="0" applyBorder="0" applyAlignment="0" applyProtection="0"/>
    <xf numFmtId="166" fontId="32" fillId="0" borderId="0" applyFont="0" applyFill="0" applyBorder="0" applyAlignment="0" applyProtection="0"/>
    <xf numFmtId="0" fontId="2"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14" fillId="0" borderId="0" applyFont="0" applyFill="0" applyBorder="0" applyAlignment="0" applyProtection="0"/>
    <xf numFmtId="166" fontId="32" fillId="0" borderId="0" applyFont="0" applyFill="0" applyBorder="0" applyAlignment="0" applyProtection="0"/>
    <xf numFmtId="166" fontId="32" fillId="0" borderId="0" applyFont="0" applyFill="0" applyBorder="0" applyAlignment="0" applyProtection="0"/>
    <xf numFmtId="182" fontId="15" fillId="0" borderId="0" applyFont="0" applyFill="0" applyBorder="0" applyAlignment="0" applyProtection="0"/>
    <xf numFmtId="201" fontId="2" fillId="0" borderId="0" applyFont="0" applyFill="0" applyBorder="0" applyAlignment="0" applyProtection="0"/>
    <xf numFmtId="166" fontId="16" fillId="0" borderId="0" applyFont="0" applyFill="0" applyBorder="0" applyAlignment="0" applyProtection="0"/>
    <xf numFmtId="182" fontId="15" fillId="0" borderId="0" applyFont="0" applyFill="0" applyBorder="0" applyAlignment="0" applyProtection="0"/>
    <xf numFmtId="202" fontId="2" fillId="0" borderId="0" applyFont="0" applyFill="0" applyBorder="0" applyAlignment="0" applyProtection="0"/>
    <xf numFmtId="166" fontId="16" fillId="0" borderId="0" applyFont="0" applyFill="0" applyBorder="0" applyAlignment="0" applyProtection="0"/>
    <xf numFmtId="166" fontId="16"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2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97" fontId="2" fillId="0" borderId="0" applyFont="0" applyFill="0" applyBorder="0" applyAlignment="0" applyProtection="0"/>
    <xf numFmtId="166" fontId="3" fillId="0" borderId="0" applyFont="0" applyFill="0" applyBorder="0" applyAlignment="0" applyProtection="0"/>
    <xf numFmtId="182" fontId="15" fillId="0" borderId="0" applyFont="0" applyFill="0" applyBorder="0" applyAlignment="0" applyProtection="0"/>
    <xf numFmtId="182" fontId="15" fillId="0" borderId="0" applyFont="0" applyFill="0" applyBorder="0" applyAlignment="0" applyProtection="0"/>
    <xf numFmtId="166" fontId="32" fillId="0" borderId="0" applyFont="0" applyFill="0" applyBorder="0" applyAlignment="0" applyProtection="0"/>
    <xf numFmtId="166" fontId="14" fillId="0" borderId="0" applyFont="0" applyFill="0" applyBorder="0" applyAlignment="0" applyProtection="0"/>
    <xf numFmtId="197" fontId="2" fillId="0" borderId="0" applyFont="0" applyFill="0" applyBorder="0" applyAlignment="0" applyProtection="0"/>
    <xf numFmtId="182" fontId="15" fillId="0" borderId="0" applyFont="0" applyFill="0" applyBorder="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1" fillId="0" borderId="26"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2" fillId="0" borderId="27" applyNumberFormat="0" applyFill="0" applyAlignment="0" applyProtection="0"/>
    <xf numFmtId="0" fontId="103" fillId="0" borderId="28" applyNumberFormat="0" applyFill="0" applyAlignment="0" applyProtection="0"/>
    <xf numFmtId="0" fontId="103" fillId="0" borderId="28" applyNumberFormat="0" applyFill="0" applyAlignment="0" applyProtection="0"/>
    <xf numFmtId="0" fontId="103" fillId="0" borderId="28" applyNumberFormat="0" applyFill="0" applyAlignment="0" applyProtection="0"/>
    <xf numFmtId="0" fontId="103" fillId="0" borderId="28" applyNumberFormat="0" applyFill="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174" fontId="104" fillId="35" borderId="25"/>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86" fillId="0" borderId="29" applyNumberFormat="0" applyFill="0" applyAlignment="0" applyProtection="0"/>
    <xf numFmtId="0" fontId="31" fillId="25" borderId="13" applyNumberFormat="0" applyAlignment="0" applyProtection="0"/>
    <xf numFmtId="0" fontId="31" fillId="25" borderId="13" applyNumberFormat="0" applyAlignment="0" applyProtection="0"/>
    <xf numFmtId="0" fontId="31" fillId="25" borderId="13" applyNumberFormat="0" applyAlignment="0" applyProtection="0"/>
    <xf numFmtId="0" fontId="31" fillId="25" borderId="13" applyNumberFormat="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0" fontId="106" fillId="28" borderId="0" applyNumberFormat="0" applyBorder="0" applyAlignment="0" applyProtection="0"/>
    <xf numFmtId="0" fontId="106" fillId="28" borderId="0" applyNumberFormat="0" applyBorder="0" applyAlignment="0" applyProtection="0"/>
    <xf numFmtId="0" fontId="106" fillId="28" borderId="0" applyNumberFormat="0" applyBorder="0" applyAlignment="0" applyProtection="0"/>
    <xf numFmtId="0" fontId="106" fillId="28" borderId="0" applyNumberFormat="0" applyBorder="0" applyAlignment="0" applyProtection="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203" fontId="17" fillId="0" borderId="0" applyFill="0" applyBorder="0" applyProtection="0"/>
    <xf numFmtId="0" fontId="3" fillId="0" borderId="0"/>
    <xf numFmtId="0" fontId="15"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3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7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37" fillId="0" borderId="0"/>
    <xf numFmtId="0" fontId="14" fillId="0" borderId="0"/>
    <xf numFmtId="0" fontId="3" fillId="0" borderId="0"/>
    <xf numFmtId="0" fontId="15" fillId="0" borderId="0"/>
    <xf numFmtId="0" fontId="15"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1" fillId="0" borderId="0"/>
    <xf numFmtId="0" fontId="16" fillId="0" borderId="0"/>
    <xf numFmtId="0" fontId="16" fillId="0" borderId="0"/>
    <xf numFmtId="0" fontId="16" fillId="0" borderId="0"/>
    <xf numFmtId="0" fontId="2" fillId="0" borderId="0"/>
    <xf numFmtId="0" fontId="16" fillId="0" borderId="0"/>
    <xf numFmtId="0" fontId="16" fillId="0" borderId="0"/>
    <xf numFmtId="0" fontId="16" fillId="0" borderId="0"/>
    <xf numFmtId="0" fontId="16" fillId="0" borderId="0"/>
    <xf numFmtId="0" fontId="16"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4" fillId="0" borderId="0"/>
    <xf numFmtId="0" fontId="4" fillId="0" borderId="0"/>
    <xf numFmtId="0" fontId="4"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15" fillId="0" borderId="0"/>
    <xf numFmtId="0" fontId="15" fillId="0" borderId="0"/>
    <xf numFmtId="0" fontId="15" fillId="0" borderId="0"/>
    <xf numFmtId="0" fontId="15" fillId="0" borderId="0"/>
    <xf numFmtId="0" fontId="15"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2" fillId="0" borderId="0"/>
    <xf numFmtId="0" fontId="15" fillId="0" borderId="0"/>
    <xf numFmtId="0" fontId="3" fillId="0" borderId="0"/>
    <xf numFmtId="0" fontId="3" fillId="0" borderId="0"/>
    <xf numFmtId="0" fontId="15" fillId="0" borderId="0"/>
    <xf numFmtId="0" fontId="15" fillId="0" borderId="0"/>
    <xf numFmtId="0" fontId="15" fillId="0" borderId="0"/>
    <xf numFmtId="0" fontId="16" fillId="0" borderId="0"/>
    <xf numFmtId="0" fontId="107"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2"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15" fillId="0" borderId="0"/>
    <xf numFmtId="0" fontId="15" fillId="0" borderId="0"/>
    <xf numFmtId="0" fontId="16" fillId="0" borderId="0"/>
    <xf numFmtId="0" fontId="16" fillId="0" borderId="0"/>
    <xf numFmtId="0" fontId="3" fillId="0" borderId="0"/>
    <xf numFmtId="0" fontId="3" fillId="0" borderId="0"/>
    <xf numFmtId="0" fontId="3" fillId="0" borderId="0"/>
    <xf numFmtId="0" fontId="3" fillId="0" borderId="0"/>
    <xf numFmtId="0" fontId="37"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16" fillId="0" borderId="0"/>
    <xf numFmtId="0" fontId="99" fillId="0" borderId="0"/>
    <xf numFmtId="0" fontId="15" fillId="0" borderId="0"/>
    <xf numFmtId="0" fontId="15"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 fillId="0" borderId="0"/>
    <xf numFmtId="0" fontId="2" fillId="0" borderId="0"/>
    <xf numFmtId="0" fontId="2" fillId="0" borderId="0"/>
    <xf numFmtId="0" fontId="16" fillId="0" borderId="0"/>
    <xf numFmtId="0" fontId="1"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 fillId="0" borderId="0" applyNumberFormat="0" applyFont="0" applyFill="0" applyBorder="0" applyAlignment="0" applyProtection="0">
      <alignment vertical="top"/>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2" fillId="0" borderId="0"/>
    <xf numFmtId="0" fontId="3" fillId="0" borderId="0"/>
    <xf numFmtId="0" fontId="16" fillId="0" borderId="0"/>
    <xf numFmtId="0" fontId="3" fillId="0" borderId="0"/>
    <xf numFmtId="0" fontId="16" fillId="0" borderId="0"/>
    <xf numFmtId="0" fontId="16" fillId="0" borderId="0"/>
    <xf numFmtId="0" fontId="2" fillId="0" borderId="0"/>
    <xf numFmtId="0" fontId="16" fillId="0" borderId="0"/>
    <xf numFmtId="0" fontId="16" fillId="0" borderId="0"/>
    <xf numFmtId="0" fontId="99" fillId="0" borderId="0"/>
    <xf numFmtId="0" fontId="16" fillId="0" borderId="0"/>
    <xf numFmtId="0" fontId="2" fillId="0" borderId="0"/>
    <xf numFmtId="0" fontId="16" fillId="0" borderId="0"/>
    <xf numFmtId="0" fontId="16" fillId="0" borderId="0"/>
    <xf numFmtId="0" fontId="16" fillId="0" borderId="0"/>
    <xf numFmtId="0" fontId="16" fillId="0" borderId="0"/>
    <xf numFmtId="0" fontId="3" fillId="0" borderId="0"/>
    <xf numFmtId="0" fontId="2" fillId="0" borderId="0"/>
    <xf numFmtId="0" fontId="15" fillId="0" borderId="0"/>
    <xf numFmtId="0" fontId="16" fillId="0" borderId="0"/>
    <xf numFmtId="0" fontId="15" fillId="0" borderId="0"/>
    <xf numFmtId="0" fontId="15" fillId="0" borderId="0"/>
    <xf numFmtId="0" fontId="15" fillId="0" borderId="0"/>
    <xf numFmtId="0" fontId="1" fillId="0" borderId="0"/>
    <xf numFmtId="0" fontId="1" fillId="0" borderId="0"/>
    <xf numFmtId="0" fontId="36" fillId="0" borderId="0"/>
    <xf numFmtId="0" fontId="15" fillId="0" borderId="0"/>
    <xf numFmtId="0" fontId="15" fillId="0" borderId="0"/>
    <xf numFmtId="0" fontId="108"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0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7"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7" fillId="0" borderId="0"/>
    <xf numFmtId="0" fontId="84" fillId="0" borderId="0"/>
    <xf numFmtId="0" fontId="23" fillId="0" borderId="0"/>
    <xf numFmtId="0" fontId="3" fillId="0" borderId="0"/>
    <xf numFmtId="0" fontId="10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6" fillId="0" borderId="0"/>
    <xf numFmtId="0" fontId="109" fillId="0" borderId="0"/>
    <xf numFmtId="0" fontId="14" fillId="0" borderId="0"/>
    <xf numFmtId="0" fontId="16"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 fillId="0" borderId="0"/>
    <xf numFmtId="0" fontId="2"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110" fillId="0" borderId="0"/>
    <xf numFmtId="0" fontId="110"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0" fillId="0" borderId="0"/>
    <xf numFmtId="0" fontId="3" fillId="0" borderId="0"/>
    <xf numFmtId="0" fontId="23" fillId="0" borderId="0"/>
    <xf numFmtId="0" fontId="16" fillId="0" borderId="0"/>
    <xf numFmtId="0" fontId="10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4" fillId="0" borderId="0"/>
    <xf numFmtId="0" fontId="3" fillId="0" borderId="0"/>
    <xf numFmtId="0" fontId="3" fillId="0" borderId="0"/>
    <xf numFmtId="0" fontId="3" fillId="0" borderId="0"/>
    <xf numFmtId="0" fontId="3" fillId="0" borderId="0"/>
    <xf numFmtId="0" fontId="15"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12" fillId="0" borderId="0"/>
    <xf numFmtId="0" fontId="16"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16" fillId="0" borderId="0"/>
    <xf numFmtId="0" fontId="3" fillId="0" borderId="0"/>
    <xf numFmtId="0" fontId="3" fillId="0" borderId="0"/>
    <xf numFmtId="0" fontId="16" fillId="0" borderId="0"/>
    <xf numFmtId="0" fontId="16" fillId="0" borderId="0"/>
    <xf numFmtId="0" fontId="3" fillId="0" borderId="0"/>
    <xf numFmtId="0" fontId="3" fillId="0" borderId="0"/>
    <xf numFmtId="0" fontId="16"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6" fillId="0" borderId="0"/>
    <xf numFmtId="0" fontId="23" fillId="0" borderId="0"/>
    <xf numFmtId="0" fontId="23" fillId="0" borderId="0"/>
    <xf numFmtId="0" fontId="8" fillId="0" borderId="0"/>
    <xf numFmtId="0" fontId="8" fillId="0" borderId="0"/>
    <xf numFmtId="0" fontId="2" fillId="0" borderId="0"/>
    <xf numFmtId="0" fontId="3" fillId="0" borderId="0"/>
    <xf numFmtId="0" fontId="23" fillId="0" borderId="0"/>
    <xf numFmtId="0" fontId="3" fillId="0" borderId="0"/>
    <xf numFmtId="0" fontId="23" fillId="0" borderId="0"/>
    <xf numFmtId="0" fontId="23" fillId="0" borderId="0"/>
    <xf numFmtId="0" fontId="15" fillId="0" borderId="0"/>
    <xf numFmtId="0" fontId="110" fillId="0" borderId="0"/>
    <xf numFmtId="0" fontId="23" fillId="0" borderId="0"/>
    <xf numFmtId="0" fontId="84" fillId="0" borderId="0"/>
    <xf numFmtId="0" fontId="1" fillId="0" borderId="0"/>
    <xf numFmtId="0" fontId="84"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16" fillId="0" borderId="0"/>
    <xf numFmtId="0" fontId="14"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2" fillId="0" borderId="0"/>
    <xf numFmtId="0" fontId="14"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14"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15" fillId="0" borderId="0"/>
    <xf numFmtId="0" fontId="15" fillId="0" borderId="0"/>
    <xf numFmtId="0" fontId="99" fillId="0" borderId="0"/>
    <xf numFmtId="0" fontId="1" fillId="0" borderId="0"/>
    <xf numFmtId="0" fontId="1" fillId="0" borderId="0"/>
    <xf numFmtId="0" fontId="37" fillId="0" borderId="0"/>
    <xf numFmtId="0" fontId="99" fillId="0" borderId="0"/>
    <xf numFmtId="0" fontId="37" fillId="0" borderId="0"/>
    <xf numFmtId="0" fontId="2"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2"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14"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23" fillId="0" borderId="0"/>
    <xf numFmtId="0" fontId="3" fillId="0" borderId="0"/>
    <xf numFmtId="0" fontId="14" fillId="0" borderId="0"/>
    <xf numFmtId="0" fontId="2" fillId="0" borderId="0"/>
    <xf numFmtId="0" fontId="14" fillId="0" borderId="0"/>
    <xf numFmtId="0" fontId="14" fillId="0" borderId="0"/>
    <xf numFmtId="0" fontId="14" fillId="0" borderId="0"/>
    <xf numFmtId="0" fontId="14" fillId="0" borderId="0"/>
    <xf numFmtId="0" fontId="14" fillId="0" borderId="0"/>
    <xf numFmtId="0" fontId="16" fillId="0" borderId="0"/>
    <xf numFmtId="0" fontId="15" fillId="0" borderId="0"/>
    <xf numFmtId="0" fontId="3" fillId="0" borderId="0"/>
    <xf numFmtId="0" fontId="3" fillId="0" borderId="0"/>
    <xf numFmtId="0" fontId="1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201" fontId="17" fillId="0" borderId="0" applyFill="0" applyBorder="0" applyProtection="0"/>
    <xf numFmtId="0" fontId="3" fillId="0" borderId="0"/>
    <xf numFmtId="0" fontId="23" fillId="0" borderId="0"/>
    <xf numFmtId="0" fontId="16" fillId="0" borderId="0"/>
    <xf numFmtId="0" fontId="3" fillId="0" borderId="0"/>
    <xf numFmtId="0" fontId="3" fillId="0" borderId="0"/>
    <xf numFmtId="0" fontId="3" fillId="0" borderId="0"/>
    <xf numFmtId="0" fontId="3" fillId="0" borderId="0"/>
    <xf numFmtId="0" fontId="109" fillId="0" borderId="0"/>
    <xf numFmtId="0" fontId="109"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201" fontId="17" fillId="0" borderId="0" applyFill="0" applyBorder="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23" fillId="0" borderId="0"/>
    <xf numFmtId="0" fontId="3" fillId="0" borderId="0"/>
    <xf numFmtId="0" fontId="3" fillId="0" borderId="0"/>
    <xf numFmtId="0" fontId="3" fillId="0" borderId="0"/>
    <xf numFmtId="0" fontId="3" fillId="0" borderId="0"/>
    <xf numFmtId="0" fontId="23" fillId="0" borderId="0"/>
    <xf numFmtId="0" fontId="26" fillId="11" borderId="0" applyNumberFormat="0" applyBorder="0" applyAlignment="0" applyProtection="0"/>
    <xf numFmtId="0" fontId="26" fillId="36" borderId="0" applyNumberFormat="0" applyBorder="0" applyAlignment="0" applyProtection="0"/>
    <xf numFmtId="0" fontId="26" fillId="11" borderId="0" applyNumberFormat="0" applyBorder="0" applyAlignment="0" applyProtection="0"/>
    <xf numFmtId="0" fontId="26" fillId="11" borderId="0" applyNumberFormat="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3"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16"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0" fontId="23" fillId="7" borderId="21" applyNumberFormat="0" applyFont="0" applyAlignment="0" applyProtection="0"/>
    <xf numFmtId="9" fontId="32" fillId="0" borderId="0" applyFont="0" applyFill="0" applyBorder="0" applyAlignment="0" applyProtection="0"/>
    <xf numFmtId="9" fontId="15"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113"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6"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5" fillId="0" borderId="0" applyFont="0" applyFill="0" applyBorder="0" applyAlignment="0" applyProtection="0"/>
    <xf numFmtId="9" fontId="15"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15"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4" fillId="0" borderId="0" applyFont="0" applyFill="0" applyBorder="0" applyAlignment="0" applyProtection="0"/>
    <xf numFmtId="9" fontId="32"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14" fillId="0" borderId="30" applyNumberFormat="0" applyFill="0" applyAlignment="0" applyProtection="0"/>
    <xf numFmtId="0" fontId="114" fillId="0" borderId="30" applyNumberFormat="0" applyFill="0" applyAlignment="0" applyProtection="0"/>
    <xf numFmtId="0" fontId="114" fillId="0" borderId="30" applyNumberFormat="0" applyFill="0" applyAlignment="0" applyProtection="0"/>
    <xf numFmtId="0" fontId="114" fillId="0" borderId="30" applyNumberFormat="0" applyFill="0" applyAlignment="0" applyProtection="0"/>
    <xf numFmtId="0" fontId="18" fillId="0" borderId="0"/>
    <xf numFmtId="0" fontId="115" fillId="0" borderId="0"/>
    <xf numFmtId="169" fontId="16" fillId="0" borderId="0">
      <alignment vertical="justify"/>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169" fontId="16" fillId="37" borderId="7" applyNumberFormat="0" applyAlignment="0">
      <alignment horizontal="left"/>
    </xf>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204" fontId="116" fillId="0" borderId="0"/>
    <xf numFmtId="205" fontId="17" fillId="0" borderId="0" applyFont="0" applyFill="0" applyBorder="0" applyAlignment="0" applyProtection="0"/>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3" fontId="117" fillId="0" borderId="10" applyFont="0" applyBorder="0">
      <alignment horizontal="right"/>
      <protection locked="0"/>
    </xf>
    <xf numFmtId="179" fontId="17" fillId="0" borderId="0" applyFont="0" applyFill="0" applyBorder="0" applyAlignment="0" applyProtection="0"/>
    <xf numFmtId="206" fontId="16" fillId="0" borderId="0" applyFont="0" applyFill="0" applyBorder="0" applyAlignment="0" applyProtection="0"/>
    <xf numFmtId="164" fontId="2" fillId="0" borderId="0" applyFont="0" applyFill="0" applyBorder="0" applyAlignment="0" applyProtection="0"/>
    <xf numFmtId="206" fontId="16" fillId="0" borderId="0" applyFont="0" applyFill="0" applyBorder="0" applyAlignment="0" applyProtection="0"/>
    <xf numFmtId="206" fontId="16" fillId="0" borderId="0" applyFont="0" applyFill="0" applyBorder="0" applyAlignment="0" applyProtection="0"/>
    <xf numFmtId="199" fontId="37" fillId="0" borderId="0" applyFill="0" applyBorder="0" applyAlignment="0" applyProtection="0"/>
    <xf numFmtId="206" fontId="36" fillId="0" borderId="0" applyFont="0" applyFill="0" applyBorder="0" applyAlignment="0" applyProtection="0"/>
    <xf numFmtId="207" fontId="37" fillId="0" borderId="0" applyFill="0" applyBorder="0" applyAlignment="0" applyProtection="0"/>
    <xf numFmtId="208" fontId="37" fillId="0" borderId="0" applyFill="0" applyBorder="0" applyAlignment="0" applyProtection="0"/>
    <xf numFmtId="209" fontId="37" fillId="0" borderId="0" applyFill="0" applyBorder="0" applyAlignment="0" applyProtection="0"/>
    <xf numFmtId="209" fontId="37" fillId="0" borderId="0" applyFill="0" applyBorder="0" applyAlignment="0" applyProtection="0"/>
    <xf numFmtId="0" fontId="2" fillId="0" borderId="0" applyFont="0" applyFill="0" applyBorder="0" applyAlignment="0" applyProtection="0"/>
    <xf numFmtId="209" fontId="37" fillId="0" borderId="0" applyFill="0" applyBorder="0" applyAlignment="0" applyProtection="0"/>
    <xf numFmtId="206" fontId="16" fillId="0" borderId="0" applyFont="0" applyFill="0" applyBorder="0" applyAlignment="0" applyProtection="0"/>
    <xf numFmtId="209" fontId="37" fillId="0" borderId="0" applyFill="0" applyBorder="0" applyAlignment="0" applyProtection="0"/>
    <xf numFmtId="210" fontId="37" fillId="0" borderId="0" applyFill="0" applyBorder="0" applyAlignment="0" applyProtection="0"/>
    <xf numFmtId="211" fontId="37" fillId="0" borderId="0" applyFill="0" applyBorder="0" applyAlignment="0" applyProtection="0"/>
    <xf numFmtId="210" fontId="37" fillId="0" borderId="0" applyFill="0" applyBorder="0" applyAlignment="0" applyProtection="0"/>
    <xf numFmtId="209" fontId="37" fillId="0" borderId="0" applyFill="0" applyBorder="0" applyAlignment="0" applyProtection="0"/>
    <xf numFmtId="206" fontId="36" fillId="0" borderId="0" applyFont="0" applyFill="0" applyBorder="0" applyAlignment="0" applyProtection="0"/>
    <xf numFmtId="206" fontId="16" fillId="0" borderId="0" applyFont="0" applyFill="0" applyBorder="0" applyAlignment="0" applyProtection="0"/>
    <xf numFmtId="206" fontId="36" fillId="0" borderId="0" applyFont="0" applyFill="0" applyBorder="0" applyAlignment="0" applyProtection="0"/>
    <xf numFmtId="206" fontId="36"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43" fontId="2"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32"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2" fillId="0" borderId="0" applyFont="0" applyFill="0" applyBorder="0" applyAlignment="0" applyProtection="0"/>
    <xf numFmtId="167" fontId="1" fillId="0" borderId="0" applyFont="0" applyFill="0" applyBorder="0" applyAlignment="0" applyProtection="0"/>
    <xf numFmtId="167" fontId="23" fillId="0" borderId="0" applyFont="0" applyFill="0" applyBorder="0" applyAlignment="0" applyProtection="0"/>
    <xf numFmtId="179" fontId="15" fillId="0" borderId="0" applyFont="0" applyFill="0" applyBorder="0" applyAlignment="0" applyProtection="0"/>
    <xf numFmtId="171" fontId="15" fillId="0" borderId="0" applyFont="0" applyFill="0" applyBorder="0" applyAlignment="0" applyProtection="0"/>
    <xf numFmtId="171"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3" fillId="0" borderId="0" applyFont="0" applyFill="0" applyBorder="0" applyAlignment="0" applyProtection="0"/>
    <xf numFmtId="167"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7"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 fillId="0" borderId="0" applyFont="0" applyFill="0" applyBorder="0" applyAlignment="0" applyProtection="0"/>
    <xf numFmtId="185" fontId="2" fillId="0" borderId="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7" fontId="14" fillId="0" borderId="0" applyFont="0" applyFill="0" applyBorder="0" applyAlignment="0" applyProtection="0"/>
    <xf numFmtId="167" fontId="23" fillId="0" borderId="0" applyFont="0" applyFill="0" applyBorder="0" applyAlignment="0" applyProtection="0"/>
    <xf numFmtId="167" fontId="32" fillId="0" borderId="0" applyFont="0" applyFill="0" applyBorder="0" applyAlignment="0" applyProtection="0"/>
    <xf numFmtId="167" fontId="113" fillId="0" borderId="0" applyFont="0" applyFill="0" applyBorder="0" applyAlignment="0" applyProtection="0"/>
    <xf numFmtId="167" fontId="16"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1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5" fontId="2"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5" fontId="2" fillId="0" borderId="0" applyFont="0" applyFill="0" applyBorder="0" applyAlignment="0" applyProtection="0"/>
    <xf numFmtId="167" fontId="16" fillId="0" borderId="0" applyFont="0" applyFill="0" applyBorder="0" applyAlignment="0" applyProtection="0"/>
    <xf numFmtId="167" fontId="16" fillId="0" borderId="0" applyFont="0" applyFill="0" applyBorder="0" applyAlignment="0" applyProtection="0"/>
    <xf numFmtId="212" fontId="84" fillId="0" borderId="0" applyFont="0" applyFill="0" applyBorder="0" applyAlignment="0" applyProtection="0"/>
    <xf numFmtId="212"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94" fontId="37" fillId="0" borderId="0" applyBorder="0" applyProtection="0"/>
    <xf numFmtId="194" fontId="37" fillId="0" borderId="0" applyBorder="0" applyProtection="0"/>
    <xf numFmtId="194" fontId="84" fillId="0" borderId="0"/>
    <xf numFmtId="179" fontId="15" fillId="0" borderId="0" applyFont="0" applyFill="0" applyBorder="0" applyAlignment="0" applyProtection="0"/>
    <xf numFmtId="167" fontId="23" fillId="0" borderId="0" applyFont="0" applyFill="0" applyBorder="0" applyAlignment="0" applyProtection="0"/>
    <xf numFmtId="167" fontId="32" fillId="0" borderId="0" applyFont="0" applyFill="0" applyBorder="0" applyAlignment="0" applyProtection="0"/>
    <xf numFmtId="167" fontId="32" fillId="0" borderId="0" applyFont="0" applyFill="0" applyBorder="0" applyAlignment="0" applyProtection="0"/>
    <xf numFmtId="167" fontId="2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3" fillId="0" borderId="0" applyFont="0" applyFill="0" applyBorder="0" applyAlignment="0" applyProtection="0"/>
    <xf numFmtId="167" fontId="1"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16"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16"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16" fillId="0" borderId="0" applyFont="0" applyFill="0" applyBorder="0" applyAlignment="0" applyProtection="0"/>
    <xf numFmtId="167" fontId="16" fillId="0" borderId="0" applyFont="0" applyFill="0" applyBorder="0" applyAlignment="0" applyProtection="0"/>
    <xf numFmtId="194" fontId="37" fillId="0" borderId="0" applyBorder="0" applyProtection="0"/>
    <xf numFmtId="167" fontId="16" fillId="0" borderId="0" applyFont="0" applyFill="0" applyBorder="0" applyAlignment="0" applyProtection="0"/>
    <xf numFmtId="167" fontId="16" fillId="0" borderId="0" applyFont="0" applyFill="0" applyBorder="0" applyAlignment="0" applyProtection="0"/>
    <xf numFmtId="167" fontId="16" fillId="0" borderId="0" applyFont="0" applyFill="0" applyBorder="0" applyAlignment="0" applyProtection="0"/>
    <xf numFmtId="194" fontId="84" fillId="0" borderId="0"/>
    <xf numFmtId="179" fontId="3" fillId="0" borderId="0" applyFont="0" applyFill="0" applyBorder="0" applyAlignment="0" applyProtection="0"/>
    <xf numFmtId="179" fontId="2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7" fontId="118" fillId="0" borderId="0" applyFont="0" applyFill="0" applyBorder="0" applyAlignment="0" applyProtection="0"/>
    <xf numFmtId="167" fontId="110" fillId="0" borderId="0" applyFont="0" applyFill="0" applyBorder="0" applyAlignment="0" applyProtection="0"/>
    <xf numFmtId="167" fontId="16" fillId="0" borderId="0" applyFont="0" applyFill="0" applyBorder="0" applyAlignment="0" applyProtection="0"/>
    <xf numFmtId="167" fontId="110"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213" fontId="2"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5" fontId="14"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94" fontId="37" fillId="0" borderId="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79" fontId="3" fillId="0" borderId="0" applyFont="0" applyFill="0" applyBorder="0" applyAlignment="0" applyProtection="0"/>
    <xf numFmtId="167" fontId="16" fillId="0" borderId="0" applyFont="0" applyFill="0" applyBorder="0" applyAlignment="0" applyProtection="0"/>
    <xf numFmtId="167" fontId="3" fillId="0" borderId="0" applyFont="0" applyFill="0" applyBorder="0" applyAlignment="0" applyProtection="0"/>
    <xf numFmtId="167" fontId="14" fillId="0" borderId="0" applyFont="0" applyFill="0" applyBorder="0" applyAlignment="0" applyProtection="0"/>
    <xf numFmtId="167" fontId="32" fillId="0" borderId="0" applyFont="0" applyFill="0" applyBorder="0" applyAlignment="0" applyProtection="0"/>
    <xf numFmtId="167" fontId="32" fillId="0" borderId="0" applyFont="0" applyFill="0" applyBorder="0" applyAlignment="0" applyProtection="0"/>
    <xf numFmtId="167" fontId="32" fillId="0" borderId="0" applyFont="0" applyFill="0" applyBorder="0" applyAlignment="0" applyProtection="0"/>
    <xf numFmtId="167" fontId="32"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15" fillId="0" borderId="0" applyFont="0" applyFill="0" applyBorder="0" applyAlignment="0" applyProtection="0"/>
    <xf numFmtId="167"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2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0" fontId="15" fillId="0" borderId="0"/>
    <xf numFmtId="167" fontId="3" fillId="0" borderId="0" applyFont="0" applyFill="0" applyBorder="0" applyAlignment="0" applyProtection="0"/>
    <xf numFmtId="0" fontId="15" fillId="0" borderId="0"/>
    <xf numFmtId="167" fontId="3" fillId="0" borderId="0" applyFont="0" applyFill="0" applyBorder="0" applyAlignment="0" applyProtection="0"/>
    <xf numFmtId="167" fontId="3" fillId="0" borderId="0" applyFont="0" applyFill="0" applyBorder="0" applyAlignment="0" applyProtection="0"/>
    <xf numFmtId="167" fontId="3" fillId="0" borderId="0" applyFont="0" applyFill="0" applyBorder="0" applyAlignment="0" applyProtection="0"/>
    <xf numFmtId="214" fontId="119" fillId="38" borderId="31">
      <alignment vertical="center"/>
    </xf>
    <xf numFmtId="214" fontId="119" fillId="38" borderId="31">
      <alignment vertical="center"/>
    </xf>
    <xf numFmtId="0" fontId="15" fillId="0" borderId="0"/>
    <xf numFmtId="214" fontId="119" fillId="38" borderId="31">
      <alignment vertical="center"/>
    </xf>
    <xf numFmtId="214" fontId="119" fillId="38" borderId="31">
      <alignment vertical="center"/>
    </xf>
    <xf numFmtId="214" fontId="119" fillId="38" borderId="31">
      <alignment vertical="center"/>
    </xf>
    <xf numFmtId="214" fontId="119" fillId="38" borderId="31">
      <alignment vertical="center"/>
    </xf>
    <xf numFmtId="0" fontId="15" fillId="0" borderId="0"/>
    <xf numFmtId="214" fontId="119" fillId="38" borderId="31">
      <alignment vertical="center"/>
    </xf>
    <xf numFmtId="214" fontId="119" fillId="38" borderId="31">
      <alignment vertical="center"/>
    </xf>
    <xf numFmtId="214" fontId="119" fillId="38" borderId="31">
      <alignment vertical="center"/>
    </xf>
    <xf numFmtId="214" fontId="119" fillId="38" borderId="31">
      <alignment vertical="center"/>
    </xf>
    <xf numFmtId="0" fontId="15" fillId="0" borderId="0"/>
    <xf numFmtId="214" fontId="119" fillId="38" borderId="31">
      <alignment vertical="center"/>
    </xf>
    <xf numFmtId="214" fontId="119" fillId="38" borderId="31">
      <alignment vertical="center"/>
    </xf>
    <xf numFmtId="214" fontId="119" fillId="38" borderId="31">
      <alignment vertical="center"/>
    </xf>
    <xf numFmtId="214" fontId="119" fillId="38" borderId="31">
      <alignment vertical="center"/>
    </xf>
    <xf numFmtId="214" fontId="119" fillId="38" borderId="31">
      <alignment vertical="center"/>
    </xf>
    <xf numFmtId="0" fontId="120" fillId="12" borderId="0" applyNumberFormat="0" applyBorder="0" applyAlignment="0" applyProtection="0"/>
    <xf numFmtId="0" fontId="15" fillId="0" borderId="0"/>
    <xf numFmtId="0" fontId="120" fillId="12" borderId="0" applyNumberFormat="0" applyBorder="0" applyAlignment="0" applyProtection="0"/>
    <xf numFmtId="0" fontId="120" fillId="12" borderId="0" applyNumberFormat="0" applyBorder="0" applyAlignment="0" applyProtection="0"/>
    <xf numFmtId="169" fontId="20" fillId="0" borderId="0">
      <protection locked="0"/>
    </xf>
    <xf numFmtId="0" fontId="15" fillId="0" borderId="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23"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23" fillId="7" borderId="34" applyNumberFormat="0" applyFont="0" applyAlignment="0" applyProtection="0"/>
    <xf numFmtId="164" fontId="2" fillId="0" borderId="0" applyFont="0" applyFill="0" applyBorder="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6" fillId="0" borderId="38" applyNumberFormat="0" applyFill="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87" fillId="14" borderId="32"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67" fillId="14" borderId="35"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58" fillId="8" borderId="32" applyNumberFormat="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6" fillId="0" borderId="37" applyNumberFormat="0" applyFill="0" applyAlignment="0" applyProtection="0"/>
    <xf numFmtId="0" fontId="83" fillId="31" borderId="36" applyNumberFormat="0" applyProtection="0">
      <alignment horizontal="left" vertical="center" indent="1"/>
    </xf>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67" fillId="23" borderId="35" applyNumberForma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0" fontId="16" fillId="7" borderId="34" applyNumberFormat="0" applyFont="0" applyAlignment="0" applyProtection="0"/>
    <xf numFmtId="165" fontId="2" fillId="0" borderId="0" applyFont="0" applyFill="0" applyBorder="0" applyAlignment="0" applyProtection="0"/>
    <xf numFmtId="165" fontId="2" fillId="0" borderId="0" applyFont="0" applyFill="0" applyBorder="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0" fontId="58" fillId="6" borderId="32" applyNumberFormat="0" applyAlignment="0" applyProtection="0"/>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9" fontId="44" fillId="0" borderId="33">
      <alignment horizontal="left" vertical="center"/>
    </xf>
    <xf numFmtId="165" fontId="14"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9" fillId="23" borderId="32" applyNumberFormat="0" applyAlignment="0" applyProtection="0"/>
    <xf numFmtId="0" fontId="2" fillId="0" borderId="0"/>
    <xf numFmtId="0" fontId="14" fillId="0" borderId="0"/>
    <xf numFmtId="43" fontId="3" fillId="0" borderId="0" applyFont="0" applyFill="0" applyBorder="0" applyAlignment="0" applyProtection="0"/>
  </cellStyleXfs>
  <cellXfs count="495">
    <xf numFmtId="0" fontId="0" fillId="0" borderId="0" xfId="0"/>
    <xf numFmtId="0" fontId="7" fillId="0" borderId="0" xfId="0" quotePrefix="1" applyFont="1" applyBorder="1" applyAlignment="1">
      <alignment horizontal="left" vertical="center"/>
    </xf>
    <xf numFmtId="0" fontId="4" fillId="0" borderId="7" xfId="1" applyFont="1" applyFill="1" applyBorder="1" applyAlignment="1">
      <alignment horizontal="center" vertical="center" wrapText="1"/>
    </xf>
    <xf numFmtId="0" fontId="4" fillId="0" borderId="48" xfId="3" applyFont="1" applyFill="1" applyBorder="1" applyAlignment="1">
      <alignment horizontal="left" vertical="center" wrapText="1"/>
    </xf>
    <xf numFmtId="2" fontId="4" fillId="3" borderId="49" xfId="0" applyNumberFormat="1" applyFont="1" applyFill="1" applyBorder="1" applyAlignment="1">
      <alignment horizontal="center" vertical="center" wrapText="1"/>
    </xf>
    <xf numFmtId="0" fontId="121" fillId="39" borderId="7" xfId="0" applyFont="1" applyFill="1" applyBorder="1" applyAlignment="1">
      <alignment horizontal="right" vertical="center" wrapText="1"/>
    </xf>
    <xf numFmtId="0" fontId="121" fillId="0" borderId="7" xfId="1" applyFont="1" applyFill="1" applyBorder="1" applyAlignment="1">
      <alignment horizontal="center" vertical="center" wrapText="1"/>
    </xf>
    <xf numFmtId="2" fontId="4" fillId="0" borderId="53" xfId="0" applyNumberFormat="1" applyFont="1" applyFill="1" applyBorder="1" applyAlignment="1">
      <alignment horizontal="center" vertical="center" wrapText="1"/>
    </xf>
    <xf numFmtId="2" fontId="4" fillId="0" borderId="52" xfId="0" applyNumberFormat="1" applyFont="1" applyFill="1" applyBorder="1" applyAlignment="1">
      <alignment horizontal="center" vertical="center" wrapText="1"/>
    </xf>
    <xf numFmtId="2" fontId="4" fillId="0" borderId="51" xfId="0" applyNumberFormat="1" applyFont="1" applyFill="1" applyBorder="1" applyAlignment="1">
      <alignment horizontal="center" vertical="center" wrapText="1"/>
    </xf>
    <xf numFmtId="0" fontId="121" fillId="39" borderId="51" xfId="0" applyFont="1" applyFill="1" applyBorder="1" applyAlignment="1">
      <alignment horizontal="right" vertical="center" wrapText="1"/>
    </xf>
    <xf numFmtId="0" fontId="121" fillId="0" borderId="51" xfId="1" applyFont="1" applyFill="1" applyBorder="1" applyAlignment="1">
      <alignment horizontal="center" vertical="center" wrapText="1"/>
    </xf>
    <xf numFmtId="0" fontId="4" fillId="0" borderId="51" xfId="1" applyFont="1" applyFill="1" applyBorder="1" applyAlignment="1">
      <alignment horizontal="center" vertical="center" wrapText="1"/>
    </xf>
    <xf numFmtId="0" fontId="4" fillId="0" borderId="51" xfId="0" applyFont="1" applyFill="1" applyBorder="1" applyAlignment="1">
      <alignment horizontal="left" vertical="center" wrapText="1"/>
    </xf>
    <xf numFmtId="0" fontId="121" fillId="0" borderId="51" xfId="0" applyFont="1" applyFill="1" applyBorder="1" applyAlignment="1">
      <alignment horizontal="right" vertical="center" wrapText="1"/>
    </xf>
    <xf numFmtId="0" fontId="121" fillId="0" borderId="51" xfId="0" applyFont="1" applyFill="1" applyBorder="1" applyAlignment="1">
      <alignment horizontal="center" vertical="center" wrapText="1"/>
    </xf>
    <xf numFmtId="2" fontId="121" fillId="0" borderId="48" xfId="0" applyNumberFormat="1" applyFont="1" applyFill="1" applyBorder="1" applyAlignment="1">
      <alignment horizontal="center" vertical="center" wrapText="1"/>
    </xf>
    <xf numFmtId="2" fontId="121" fillId="0" borderId="51" xfId="0" applyNumberFormat="1" applyFont="1" applyFill="1" applyBorder="1" applyAlignment="1">
      <alignment horizontal="center" vertical="center" wrapText="1"/>
    </xf>
    <xf numFmtId="2" fontId="4" fillId="0" borderId="49" xfId="0" applyNumberFormat="1" applyFont="1" applyFill="1" applyBorder="1" applyAlignment="1">
      <alignment horizontal="center" vertical="center" wrapText="1"/>
    </xf>
    <xf numFmtId="0" fontId="121" fillId="0" borderId="6" xfId="0" applyFont="1" applyFill="1" applyBorder="1" applyAlignment="1">
      <alignment horizontal="center" vertical="center" wrapText="1"/>
    </xf>
    <xf numFmtId="0" fontId="121" fillId="39" borderId="48" xfId="0" applyFont="1" applyFill="1" applyBorder="1" applyAlignment="1">
      <alignment horizontal="right" vertical="center" wrapText="1"/>
    </xf>
    <xf numFmtId="2" fontId="130" fillId="0" borderId="48" xfId="3" applyNumberFormat="1" applyFont="1" applyFill="1" applyBorder="1" applyAlignment="1">
      <alignment horizontal="left" vertical="center" wrapText="1"/>
    </xf>
    <xf numFmtId="2" fontId="129" fillId="0" borderId="48" xfId="0" applyNumberFormat="1" applyFont="1" applyFill="1" applyBorder="1" applyAlignment="1">
      <alignment horizontal="right" vertical="center" wrapText="1"/>
    </xf>
    <xf numFmtId="2" fontId="129" fillId="0" borderId="51" xfId="3" applyNumberFormat="1" applyFont="1" applyFill="1" applyBorder="1" applyAlignment="1">
      <alignment horizontal="center" vertical="center" wrapText="1"/>
    </xf>
    <xf numFmtId="2" fontId="129" fillId="39" borderId="48" xfId="0" applyNumberFormat="1" applyFont="1" applyFill="1" applyBorder="1" applyAlignment="1">
      <alignment horizontal="right" vertical="center" wrapText="1"/>
    </xf>
    <xf numFmtId="2" fontId="129" fillId="39" borderId="51" xfId="0" applyNumberFormat="1" applyFont="1" applyFill="1" applyBorder="1" applyAlignment="1">
      <alignment horizontal="right" vertical="center" wrapText="1"/>
    </xf>
    <xf numFmtId="2" fontId="121" fillId="0" borderId="51" xfId="3" applyNumberFormat="1" applyFont="1" applyFill="1" applyBorder="1" applyAlignment="1">
      <alignment horizontal="center" vertical="center" wrapText="1"/>
    </xf>
    <xf numFmtId="2" fontId="121" fillId="39" borderId="51" xfId="0" applyNumberFormat="1" applyFont="1" applyFill="1" applyBorder="1" applyAlignment="1">
      <alignment horizontal="right" vertical="center" wrapText="1"/>
    </xf>
    <xf numFmtId="2" fontId="121" fillId="39" borderId="48" xfId="0" applyNumberFormat="1" applyFont="1" applyFill="1" applyBorder="1" applyAlignment="1">
      <alignment horizontal="right" vertical="center" wrapText="1"/>
    </xf>
    <xf numFmtId="0" fontId="4" fillId="0" borderId="51" xfId="3" applyFont="1" applyFill="1" applyBorder="1" applyAlignment="1">
      <alignment horizontal="left" vertical="center" wrapText="1"/>
    </xf>
    <xf numFmtId="2" fontId="129" fillId="0" borderId="51" xfId="0" applyNumberFormat="1" applyFont="1" applyFill="1" applyBorder="1" applyAlignment="1">
      <alignment horizontal="right" vertical="center" wrapText="1"/>
    </xf>
    <xf numFmtId="175" fontId="121" fillId="0" borderId="51" xfId="0" applyNumberFormat="1" applyFont="1" applyFill="1" applyBorder="1" applyAlignment="1">
      <alignment horizontal="center" vertical="center" wrapText="1"/>
    </xf>
    <xf numFmtId="175" fontId="121" fillId="0" borderId="48" xfId="0" applyNumberFormat="1" applyFont="1" applyFill="1" applyBorder="1" applyAlignment="1">
      <alignment horizontal="center" vertical="center" wrapText="1"/>
    </xf>
    <xf numFmtId="2" fontId="4" fillId="0" borderId="48" xfId="0" applyNumberFormat="1" applyFont="1" applyFill="1" applyBorder="1" applyAlignment="1">
      <alignment horizontal="center" vertical="center" wrapText="1"/>
    </xf>
    <xf numFmtId="49" fontId="5" fillId="0" borderId="0" xfId="0" applyNumberFormat="1" applyFont="1" applyFill="1" applyAlignment="1">
      <alignment horizontal="left" vertical="top" wrapText="1"/>
    </xf>
    <xf numFmtId="0" fontId="7" fillId="0" borderId="0" xfId="0" applyNumberFormat="1" applyFont="1" applyFill="1" applyBorder="1" applyAlignment="1">
      <alignment horizontal="left" vertical="center"/>
    </xf>
    <xf numFmtId="0" fontId="7" fillId="0" borderId="0" xfId="0" applyFont="1" applyAlignment="1"/>
    <xf numFmtId="0" fontId="7" fillId="0" borderId="0" xfId="0" applyFont="1" applyAlignment="1">
      <alignment horizontal="center"/>
    </xf>
    <xf numFmtId="0" fontId="5" fillId="0" borderId="0" xfId="0" applyFont="1" applyFill="1"/>
    <xf numFmtId="0" fontId="5" fillId="0" borderId="0" xfId="0" applyFont="1" applyFill="1" applyAlignment="1">
      <alignment horizontal="left" vertical="center"/>
    </xf>
    <xf numFmtId="49" fontId="7" fillId="0" borderId="0" xfId="0" applyNumberFormat="1" applyFont="1" applyFill="1" applyBorder="1" applyAlignment="1">
      <alignment horizontal="left" vertical="center" wrapText="1" indent="1"/>
    </xf>
    <xf numFmtId="49" fontId="7" fillId="0" borderId="0" xfId="0" applyNumberFormat="1" applyFont="1" applyFill="1" applyBorder="1" applyAlignment="1">
      <alignment horizontal="left" vertical="center"/>
    </xf>
    <xf numFmtId="0" fontId="123" fillId="0" borderId="0" xfId="0" applyFont="1" applyFill="1"/>
    <xf numFmtId="0" fontId="123" fillId="0" borderId="0" xfId="0" applyFont="1" applyFill="1" applyAlignment="1">
      <alignment horizontal="left" vertical="center"/>
    </xf>
    <xf numFmtId="0" fontId="124" fillId="0" borderId="0" xfId="0" applyFont="1" applyFill="1"/>
    <xf numFmtId="0" fontId="124" fillId="0" borderId="0" xfId="0" applyFont="1" applyFill="1" applyAlignment="1">
      <alignment horizontal="left" vertical="center"/>
    </xf>
    <xf numFmtId="0" fontId="12" fillId="3" borderId="51" xfId="0" applyFont="1" applyFill="1" applyBorder="1" applyAlignment="1">
      <alignment horizontal="center" vertical="center" wrapText="1"/>
    </xf>
    <xf numFmtId="0" fontId="136" fillId="0" borderId="0" xfId="0" applyFont="1"/>
    <xf numFmtId="0" fontId="6" fillId="0" borderId="0" xfId="0" applyFont="1" applyFill="1" applyAlignment="1">
      <alignment horizontal="center" vertical="center" wrapText="1"/>
    </xf>
    <xf numFmtId="0" fontId="1" fillId="0" borderId="0" xfId="0" applyFont="1" applyFill="1" applyAlignment="1">
      <alignment vertical="center" wrapText="1"/>
    </xf>
    <xf numFmtId="0" fontId="8" fillId="0" borderId="0" xfId="0" applyFont="1"/>
    <xf numFmtId="0" fontId="8" fillId="0" borderId="0" xfId="0" applyFont="1" applyAlignment="1">
      <alignment horizontal="left" vertical="center"/>
    </xf>
    <xf numFmtId="0" fontId="126" fillId="0" borderId="0" xfId="0" applyFont="1" applyFill="1" applyBorder="1" applyAlignment="1">
      <alignment horizontal="left"/>
    </xf>
    <xf numFmtId="0" fontId="8" fillId="0" borderId="0" xfId="0" applyFont="1" applyFill="1" applyBorder="1" applyAlignment="1">
      <alignment horizontal="center" wrapText="1"/>
    </xf>
    <xf numFmtId="0" fontId="8" fillId="0" borderId="0" xfId="0" applyFont="1" applyFill="1" applyBorder="1" applyAlignment="1">
      <alignment horizontal="center"/>
    </xf>
    <xf numFmtId="0" fontId="8" fillId="0" borderId="0" xfId="0" applyFont="1" applyFill="1" applyBorder="1" applyAlignment="1">
      <alignment horizontal="center" vertical="center"/>
    </xf>
    <xf numFmtId="0" fontId="133" fillId="0" borderId="0" xfId="0" applyFont="1" applyFill="1" applyBorder="1" applyAlignment="1">
      <alignment horizontal="center" vertical="center"/>
    </xf>
    <xf numFmtId="0" fontId="8" fillId="0" borderId="0" xfId="10" applyFont="1" applyFill="1" applyBorder="1" applyAlignment="1">
      <alignment vertical="center" wrapText="1"/>
    </xf>
    <xf numFmtId="0" fontId="8" fillId="0" borderId="0" xfId="10" applyFont="1" applyFill="1" applyBorder="1" applyAlignment="1">
      <alignment horizontal="right" vertical="center"/>
    </xf>
    <xf numFmtId="0" fontId="8" fillId="0" borderId="0" xfId="0" applyFont="1" applyFill="1"/>
    <xf numFmtId="0" fontId="8" fillId="0" borderId="0" xfId="0" applyFont="1" applyFill="1" applyAlignment="1">
      <alignment horizontal="left" vertical="center"/>
    </xf>
    <xf numFmtId="0" fontId="9" fillId="0" borderId="49" xfId="4224" applyFont="1" applyFill="1" applyBorder="1" applyAlignment="1">
      <alignment horizontal="center" vertical="center" wrapText="1"/>
    </xf>
    <xf numFmtId="4" fontId="8" fillId="0" borderId="51" xfId="0" applyNumberFormat="1" applyFont="1" applyFill="1" applyBorder="1" applyAlignment="1" applyProtection="1">
      <alignment horizontal="center" vertical="center" wrapText="1"/>
    </xf>
    <xf numFmtId="165" fontId="8" fillId="0" borderId="53" xfId="18820" applyFont="1" applyFill="1" applyBorder="1" applyAlignment="1">
      <alignment horizontal="center" vertical="center" wrapText="1"/>
    </xf>
    <xf numFmtId="165" fontId="8" fillId="0" borderId="52" xfId="18820" applyFont="1" applyFill="1" applyBorder="1" applyAlignment="1" applyProtection="1">
      <alignment horizontal="center" vertical="center" wrapText="1"/>
    </xf>
    <xf numFmtId="165" fontId="8" fillId="0" borderId="51" xfId="18820" applyFont="1" applyFill="1" applyBorder="1" applyAlignment="1" applyProtection="1">
      <alignment horizontal="center" vertical="center" wrapText="1"/>
    </xf>
    <xf numFmtId="49" fontId="4" fillId="0" borderId="5" xfId="0" quotePrefix="1" applyNumberFormat="1" applyFont="1" applyFill="1" applyBorder="1" applyAlignment="1">
      <alignment horizontal="center" vertical="center"/>
    </xf>
    <xf numFmtId="0" fontId="4" fillId="0" borderId="6" xfId="0" applyFont="1" applyFill="1" applyBorder="1" applyAlignment="1">
      <alignment horizontal="center" vertical="center" wrapText="1"/>
    </xf>
    <xf numFmtId="4" fontId="4" fillId="3" borderId="6" xfId="4" applyNumberFormat="1" applyFont="1" applyFill="1" applyBorder="1" applyAlignment="1">
      <alignment horizontal="center" vertical="center" wrapText="1"/>
    </xf>
    <xf numFmtId="2" fontId="4" fillId="0" borderId="8" xfId="18820" applyNumberFormat="1" applyFont="1" applyFill="1" applyBorder="1" applyAlignment="1">
      <alignment horizontal="center" vertical="center" wrapText="1"/>
    </xf>
    <xf numFmtId="2" fontId="4" fillId="0" borderId="5" xfId="18820" applyNumberFormat="1" applyFont="1" applyFill="1" applyBorder="1" applyAlignment="1">
      <alignment horizontal="center" vertical="center" wrapText="1"/>
    </xf>
    <xf numFmtId="2" fontId="4" fillId="0" borderId="6" xfId="18820" applyNumberFormat="1" applyFont="1" applyFill="1" applyBorder="1" applyAlignment="1">
      <alignment horizontal="center" vertical="center" wrapText="1"/>
    </xf>
    <xf numFmtId="0" fontId="132" fillId="0" borderId="0" xfId="0" applyFont="1" applyFill="1"/>
    <xf numFmtId="0" fontId="132" fillId="0" borderId="0" xfId="0" applyFont="1" applyFill="1" applyAlignment="1">
      <alignment horizontal="left" vertical="center"/>
    </xf>
    <xf numFmtId="0" fontId="132" fillId="0" borderId="0" xfId="0" applyFont="1" applyFill="1" applyAlignment="1">
      <alignment horizontal="center" vertical="center"/>
    </xf>
    <xf numFmtId="0" fontId="132" fillId="0" borderId="0" xfId="0" applyFont="1" applyFill="1" applyBorder="1" applyAlignment="1" applyProtection="1"/>
    <xf numFmtId="4" fontId="132" fillId="0" borderId="0" xfId="0" applyNumberFormat="1" applyFont="1" applyFill="1" applyBorder="1" applyAlignment="1" applyProtection="1"/>
    <xf numFmtId="165" fontId="132" fillId="0" borderId="0" xfId="18820" applyFont="1" applyFill="1"/>
    <xf numFmtId="165" fontId="132" fillId="0" borderId="0" xfId="18820" applyFont="1" applyFill="1" applyAlignment="1">
      <alignment horizontal="center"/>
    </xf>
    <xf numFmtId="0" fontId="132" fillId="0" borderId="0" xfId="0" applyFont="1" applyFill="1" applyAlignment="1">
      <alignment wrapText="1"/>
    </xf>
    <xf numFmtId="0" fontId="11" fillId="42" borderId="50" xfId="0" applyFont="1" applyFill="1" applyBorder="1" applyAlignment="1">
      <alignment horizontal="center" vertical="center"/>
    </xf>
    <xf numFmtId="0" fontId="10" fillId="42" borderId="48" xfId="1" applyFont="1" applyFill="1" applyBorder="1" applyAlignment="1">
      <alignment horizontal="left" vertical="center" wrapText="1"/>
    </xf>
    <xf numFmtId="0" fontId="4" fillId="42" borderId="6" xfId="0" applyFont="1" applyFill="1" applyBorder="1" applyAlignment="1">
      <alignment horizontal="center" vertical="center" wrapText="1"/>
    </xf>
    <xf numFmtId="2" fontId="4" fillId="42" borderId="49" xfId="0" applyNumberFormat="1" applyFont="1" applyFill="1" applyBorder="1" applyAlignment="1">
      <alignment horizontal="center" vertical="center" wrapText="1"/>
    </xf>
    <xf numFmtId="4" fontId="4" fillId="42" borderId="6" xfId="4" applyNumberFormat="1" applyFont="1" applyFill="1" applyBorder="1" applyAlignment="1">
      <alignment horizontal="center" vertical="center" wrapText="1"/>
    </xf>
    <xf numFmtId="2" fontId="4" fillId="42" borderId="8" xfId="18820" applyNumberFormat="1" applyFont="1" applyFill="1" applyBorder="1" applyAlignment="1">
      <alignment horizontal="center" vertical="center" wrapText="1"/>
    </xf>
    <xf numFmtId="4" fontId="4" fillId="3" borderId="51" xfId="4" applyNumberFormat="1" applyFont="1" applyFill="1" applyBorder="1" applyAlignment="1">
      <alignment horizontal="center" vertical="center" wrapText="1"/>
    </xf>
    <xf numFmtId="2" fontId="4" fillId="0" borderId="58" xfId="18820" applyNumberFormat="1" applyFont="1" applyFill="1" applyBorder="1" applyAlignment="1">
      <alignment horizontal="center" vertical="center" wrapText="1"/>
    </xf>
    <xf numFmtId="2" fontId="4" fillId="0" borderId="51" xfId="18820" applyNumberFormat="1" applyFont="1" applyFill="1" applyBorder="1" applyAlignment="1">
      <alignment horizontal="center" vertical="center" wrapText="1"/>
    </xf>
    <xf numFmtId="0" fontId="4" fillId="0" borderId="55" xfId="3" applyFont="1" applyFill="1" applyBorder="1" applyAlignment="1">
      <alignment horizontal="left" vertical="center" wrapText="1"/>
    </xf>
    <xf numFmtId="0" fontId="4" fillId="0" borderId="50" xfId="0" applyFont="1" applyFill="1" applyBorder="1" applyAlignment="1">
      <alignment horizontal="left" vertical="center" wrapText="1"/>
    </xf>
    <xf numFmtId="0" fontId="127" fillId="0" borderId="51" xfId="0" applyFont="1" applyFill="1" applyBorder="1" applyAlignment="1">
      <alignment horizontal="center" vertical="center"/>
    </xf>
    <xf numFmtId="2" fontId="121" fillId="0" borderId="49" xfId="0" applyNumberFormat="1" applyFont="1" applyFill="1" applyBorder="1" applyAlignment="1">
      <alignment horizontal="center" vertical="center" wrapText="1"/>
    </xf>
    <xf numFmtId="0" fontId="10" fillId="42" borderId="43" xfId="1" applyFont="1" applyFill="1" applyBorder="1" applyAlignment="1">
      <alignment horizontal="left" vertical="center" wrapText="1"/>
    </xf>
    <xf numFmtId="0" fontId="8" fillId="0" borderId="49" xfId="0" applyFont="1" applyFill="1" applyBorder="1" applyAlignment="1" applyProtection="1">
      <alignment horizontal="center" vertical="center" wrapText="1"/>
    </xf>
    <xf numFmtId="4" fontId="4" fillId="42" borderId="40" xfId="5" applyNumberFormat="1" applyFont="1" applyFill="1" applyBorder="1" applyAlignment="1">
      <alignment horizontal="center" vertical="center" wrapText="1"/>
    </xf>
    <xf numFmtId="4" fontId="4" fillId="3" borderId="50" xfId="5" applyNumberFormat="1" applyFont="1" applyFill="1" applyBorder="1" applyAlignment="1">
      <alignment horizontal="center" vertical="center" wrapText="1"/>
    </xf>
    <xf numFmtId="4" fontId="4" fillId="3" borderId="40" xfId="5" applyNumberFormat="1" applyFont="1" applyFill="1" applyBorder="1" applyAlignment="1">
      <alignment horizontal="center" vertical="center" wrapText="1"/>
    </xf>
    <xf numFmtId="2" fontId="4" fillId="42" borderId="54" xfId="0" applyNumberFormat="1" applyFont="1" applyFill="1" applyBorder="1" applyAlignment="1">
      <alignment horizontal="center" vertical="center" wrapText="1"/>
    </xf>
    <xf numFmtId="2" fontId="4" fillId="0" borderId="54" xfId="0" applyNumberFormat="1" applyFont="1" applyFill="1" applyBorder="1" applyAlignment="1">
      <alignment horizontal="center" vertical="center" wrapText="1"/>
    </xf>
    <xf numFmtId="0" fontId="6" fillId="0" borderId="48" xfId="3" applyFont="1" applyFill="1" applyBorder="1" applyAlignment="1">
      <alignment horizontal="center" vertical="center" wrapText="1"/>
    </xf>
    <xf numFmtId="0" fontId="6" fillId="0" borderId="7" xfId="1" applyFont="1" applyFill="1" applyBorder="1" applyAlignment="1">
      <alignment horizontal="center" vertical="center" wrapText="1"/>
    </xf>
    <xf numFmtId="2" fontId="6" fillId="0" borderId="49" xfId="0" applyNumberFormat="1" applyFont="1" applyFill="1" applyBorder="1" applyAlignment="1">
      <alignment horizontal="center" vertical="center" wrapText="1"/>
    </xf>
    <xf numFmtId="0" fontId="6" fillId="0" borderId="51" xfId="3" applyFont="1" applyFill="1" applyBorder="1" applyAlignment="1">
      <alignment horizontal="center" vertical="center" wrapText="1"/>
    </xf>
    <xf numFmtId="2" fontId="131" fillId="0" borderId="51" xfId="3" applyNumberFormat="1" applyFont="1" applyFill="1" applyBorder="1" applyAlignment="1">
      <alignment horizontal="center" vertical="center" wrapText="1"/>
    </xf>
    <xf numFmtId="2" fontId="131" fillId="0" borderId="48" xfId="0" applyNumberFormat="1" applyFont="1" applyFill="1" applyBorder="1" applyAlignment="1">
      <alignment horizontal="right" vertical="center" wrapText="1"/>
    </xf>
    <xf numFmtId="4" fontId="4" fillId="0" borderId="6" xfId="4" applyNumberFormat="1" applyFont="1" applyFill="1" applyBorder="1" applyAlignment="1">
      <alignment horizontal="center" vertical="center" wrapText="1"/>
    </xf>
    <xf numFmtId="0" fontId="6" fillId="0" borderId="6" xfId="0" applyFont="1" applyFill="1" applyBorder="1" applyAlignment="1">
      <alignment horizontal="center" vertical="center" wrapText="1"/>
    </xf>
    <xf numFmtId="49" fontId="10" fillId="42" borderId="52" xfId="1" applyNumberFormat="1" applyFont="1" applyFill="1" applyBorder="1" applyAlignment="1">
      <alignment horizontal="center" vertical="center" wrapText="1"/>
    </xf>
    <xf numFmtId="0" fontId="128" fillId="42" borderId="55" xfId="0" applyNumberFormat="1" applyFont="1" applyFill="1" applyBorder="1" applyAlignment="1">
      <alignment horizontal="center" vertical="center" wrapText="1"/>
    </xf>
    <xf numFmtId="0" fontId="10" fillId="42" borderId="48" xfId="3" applyFont="1" applyFill="1" applyBorder="1" applyAlignment="1">
      <alignment horizontal="left" vertical="center" wrapText="1"/>
    </xf>
    <xf numFmtId="0" fontId="4" fillId="42" borderId="51" xfId="1" applyFont="1" applyFill="1" applyBorder="1" applyAlignment="1">
      <alignment horizontal="center" vertical="center" wrapText="1"/>
    </xf>
    <xf numFmtId="0" fontId="4" fillId="42" borderId="48" xfId="1" applyFont="1" applyFill="1" applyBorder="1" applyAlignment="1">
      <alignment horizontal="center" vertical="center" wrapText="1"/>
    </xf>
    <xf numFmtId="2" fontId="129" fillId="0" borderId="51" xfId="0" applyNumberFormat="1" applyFont="1" applyFill="1" applyBorder="1" applyAlignment="1">
      <alignment horizontal="center" vertical="center" wrapText="1"/>
    </xf>
    <xf numFmtId="2" fontId="4" fillId="0" borderId="33" xfId="0" applyNumberFormat="1" applyFont="1" applyFill="1" applyBorder="1" applyAlignment="1">
      <alignment horizontal="center" vertical="center" wrapText="1"/>
    </xf>
    <xf numFmtId="2" fontId="6" fillId="0" borderId="7" xfId="1" applyNumberFormat="1" applyFont="1" applyFill="1" applyBorder="1" applyAlignment="1">
      <alignment horizontal="center" vertical="center" wrapText="1"/>
    </xf>
    <xf numFmtId="2" fontId="129" fillId="0" borderId="6" xfId="3" applyNumberFormat="1" applyFont="1" applyFill="1" applyBorder="1" applyAlignment="1">
      <alignment horizontal="center" vertical="center" wrapText="1"/>
    </xf>
    <xf numFmtId="2" fontId="4" fillId="0" borderId="50" xfId="0" applyNumberFormat="1" applyFont="1" applyFill="1" applyBorder="1" applyAlignment="1">
      <alignment horizontal="left" vertical="center" wrapText="1"/>
    </xf>
    <xf numFmtId="2" fontId="4" fillId="0" borderId="39" xfId="0" applyNumberFormat="1" applyFont="1" applyFill="1" applyBorder="1" applyAlignment="1">
      <alignment horizontal="center" vertical="center" wrapText="1"/>
    </xf>
    <xf numFmtId="2" fontId="6" fillId="0" borderId="48" xfId="0" applyNumberFormat="1" applyFont="1" applyFill="1" applyBorder="1" applyAlignment="1">
      <alignment horizontal="center" vertical="center" wrapText="1"/>
    </xf>
    <xf numFmtId="2" fontId="6" fillId="0" borderId="51" xfId="0" applyNumberFormat="1" applyFont="1" applyFill="1" applyBorder="1" applyAlignment="1">
      <alignment horizontal="center" vertical="center" wrapText="1"/>
    </xf>
    <xf numFmtId="2" fontId="6" fillId="0" borderId="33" xfId="0" applyNumberFormat="1" applyFont="1" applyFill="1" applyBorder="1" applyAlignment="1">
      <alignment horizontal="center" vertical="center" wrapText="1"/>
    </xf>
    <xf numFmtId="2" fontId="121" fillId="0" borderId="33" xfId="0" applyNumberFormat="1" applyFont="1" applyFill="1" applyBorder="1" applyAlignment="1">
      <alignment horizontal="center" vertical="center" wrapText="1"/>
    </xf>
    <xf numFmtId="2" fontId="121" fillId="0" borderId="54" xfId="0" applyNumberFormat="1" applyFont="1" applyFill="1" applyBorder="1" applyAlignment="1">
      <alignment horizontal="center" vertical="center" wrapText="1"/>
    </xf>
    <xf numFmtId="0" fontId="4" fillId="0" borderId="51" xfId="0" applyFont="1" applyFill="1" applyBorder="1" applyAlignment="1">
      <alignment horizontal="center" vertical="center"/>
    </xf>
    <xf numFmtId="49" fontId="4" fillId="0" borderId="0" xfId="0" quotePrefix="1" applyNumberFormat="1" applyFont="1" applyFill="1" applyBorder="1" applyAlignment="1">
      <alignment horizontal="center" vertical="center"/>
    </xf>
    <xf numFmtId="0" fontId="127"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2" fontId="4" fillId="0" borderId="0" xfId="0" applyNumberFormat="1" applyFont="1" applyFill="1" applyBorder="1" applyAlignment="1">
      <alignment horizontal="center" vertical="center" wrapText="1"/>
    </xf>
    <xf numFmtId="4" fontId="4" fillId="0" borderId="0" xfId="5" applyNumberFormat="1" applyFont="1" applyFill="1" applyBorder="1" applyAlignment="1">
      <alignment horizontal="center" vertical="center" wrapText="1"/>
    </xf>
    <xf numFmtId="4" fontId="4" fillId="0" borderId="0" xfId="4" applyNumberFormat="1" applyFont="1" applyFill="1" applyBorder="1" applyAlignment="1">
      <alignment horizontal="center" vertical="center" wrapText="1"/>
    </xf>
    <xf numFmtId="2" fontId="131" fillId="0" borderId="6" xfId="3" applyNumberFormat="1" applyFont="1" applyFill="1" applyBorder="1" applyAlignment="1">
      <alignment horizontal="center" vertical="center" wrapText="1"/>
    </xf>
    <xf numFmtId="0" fontId="6" fillId="0" borderId="51" xfId="1" applyFont="1" applyFill="1" applyBorder="1" applyAlignment="1">
      <alignment horizontal="center" vertical="center" wrapText="1"/>
    </xf>
    <xf numFmtId="4" fontId="4" fillId="41" borderId="33" xfId="5" applyNumberFormat="1" applyFont="1" applyFill="1" applyBorder="1" applyAlignment="1">
      <alignment horizontal="center" vertical="center" wrapText="1"/>
    </xf>
    <xf numFmtId="49" fontId="9" fillId="2" borderId="44" xfId="1" applyNumberFormat="1" applyFont="1" applyFill="1" applyBorder="1" applyAlignment="1">
      <alignment vertical="center"/>
    </xf>
    <xf numFmtId="0" fontId="10" fillId="2" borderId="62" xfId="1" applyFont="1" applyFill="1" applyBorder="1" applyAlignment="1">
      <alignment horizontal="center" vertical="center"/>
    </xf>
    <xf numFmtId="0" fontId="10" fillId="2" borderId="45" xfId="1" applyFont="1" applyFill="1" applyBorder="1" applyAlignment="1">
      <alignment horizontal="right" vertical="center" wrapText="1" indent="1"/>
    </xf>
    <xf numFmtId="0" fontId="4" fillId="2" borderId="62" xfId="0" applyFont="1" applyFill="1" applyBorder="1" applyAlignment="1">
      <alignment horizontal="left" vertical="center" wrapText="1"/>
    </xf>
    <xf numFmtId="0" fontId="4" fillId="2" borderId="62" xfId="0" applyFont="1" applyFill="1" applyBorder="1" applyAlignment="1">
      <alignment horizontal="center" vertical="center" wrapText="1"/>
    </xf>
    <xf numFmtId="2" fontId="4" fillId="2" borderId="62" xfId="0" applyNumberFormat="1" applyFont="1" applyFill="1" applyBorder="1" applyAlignment="1">
      <alignment horizontal="center" vertical="center" wrapText="1"/>
    </xf>
    <xf numFmtId="4" fontId="4" fillId="2" borderId="62" xfId="5" applyNumberFormat="1" applyFont="1" applyFill="1" applyBorder="1" applyAlignment="1">
      <alignment horizontal="center" vertical="center" wrapText="1"/>
    </xf>
    <xf numFmtId="4" fontId="4" fillId="2" borderId="62" xfId="4" applyNumberFormat="1" applyFont="1" applyFill="1" applyBorder="1" applyAlignment="1">
      <alignment horizontal="center" vertical="center" wrapText="1"/>
    </xf>
    <xf numFmtId="49" fontId="4" fillId="0" borderId="51" xfId="0" quotePrefix="1" applyNumberFormat="1" applyFont="1" applyFill="1" applyBorder="1" applyAlignment="1">
      <alignment horizontal="center" vertical="center"/>
    </xf>
    <xf numFmtId="0" fontId="4" fillId="0" borderId="51" xfId="0" applyFont="1" applyFill="1" applyBorder="1" applyAlignment="1">
      <alignment horizontal="center" vertical="center" wrapText="1"/>
    </xf>
    <xf numFmtId="0" fontId="9" fillId="0" borderId="33" xfId="4224" applyFont="1" applyFill="1" applyBorder="1" applyAlignment="1">
      <alignment horizontal="center" vertical="center" wrapText="1"/>
    </xf>
    <xf numFmtId="2" fontId="4" fillId="42" borderId="33" xfId="0" applyNumberFormat="1" applyFont="1" applyFill="1" applyBorder="1" applyAlignment="1">
      <alignment horizontal="center" vertical="center" wrapText="1"/>
    </xf>
    <xf numFmtId="2" fontId="4" fillId="41" borderId="60" xfId="0" applyNumberFormat="1" applyFont="1" applyFill="1" applyBorder="1" applyAlignment="1">
      <alignment horizontal="center" vertical="center" wrapText="1"/>
    </xf>
    <xf numFmtId="2" fontId="4" fillId="2" borderId="63" xfId="0" applyNumberFormat="1" applyFont="1" applyFill="1" applyBorder="1" applyAlignment="1">
      <alignment horizontal="center" vertical="center" wrapText="1"/>
    </xf>
    <xf numFmtId="4" fontId="4" fillId="3" borderId="49" xfId="5" applyNumberFormat="1" applyFont="1" applyFill="1" applyBorder="1" applyAlignment="1">
      <alignment horizontal="center" vertical="center" wrapText="1"/>
    </xf>
    <xf numFmtId="2" fontId="4" fillId="41" borderId="39" xfId="0" applyNumberFormat="1" applyFont="1" applyFill="1" applyBorder="1" applyAlignment="1">
      <alignment horizontal="center" vertical="center" wrapText="1"/>
    </xf>
    <xf numFmtId="2" fontId="4" fillId="2" borderId="69" xfId="0" applyNumberFormat="1" applyFont="1" applyFill="1" applyBorder="1" applyAlignment="1">
      <alignment horizontal="center" vertical="center" wrapText="1"/>
    </xf>
    <xf numFmtId="2" fontId="4" fillId="42" borderId="39" xfId="0" applyNumberFormat="1" applyFont="1" applyFill="1" applyBorder="1" applyAlignment="1">
      <alignment horizontal="center" vertical="center" wrapText="1"/>
    </xf>
    <xf numFmtId="4" fontId="4" fillId="42" borderId="33" xfId="5" applyNumberFormat="1" applyFont="1" applyFill="1" applyBorder="1" applyAlignment="1">
      <alignment horizontal="center" vertical="center" wrapText="1"/>
    </xf>
    <xf numFmtId="2" fontId="4" fillId="42" borderId="60" xfId="0" applyNumberFormat="1" applyFont="1" applyFill="1" applyBorder="1" applyAlignment="1">
      <alignment horizontal="center" vertical="center" wrapText="1"/>
    </xf>
    <xf numFmtId="2" fontId="121" fillId="0" borderId="39" xfId="0" applyNumberFormat="1" applyFont="1" applyFill="1" applyBorder="1" applyAlignment="1">
      <alignment horizontal="center" vertical="center" wrapText="1"/>
    </xf>
    <xf numFmtId="2" fontId="6" fillId="0" borderId="39" xfId="0" applyNumberFormat="1" applyFont="1" applyFill="1" applyBorder="1" applyAlignment="1">
      <alignment horizontal="center" vertical="center" wrapText="1"/>
    </xf>
    <xf numFmtId="0" fontId="121" fillId="39" borderId="55" xfId="0" applyFont="1" applyFill="1" applyBorder="1" applyAlignment="1">
      <alignment horizontal="right" vertical="center" wrapText="1"/>
    </xf>
    <xf numFmtId="4" fontId="4" fillId="0" borderId="51" xfId="4" applyNumberFormat="1" applyFont="1" applyFill="1" applyBorder="1" applyAlignment="1">
      <alignment horizontal="center" vertical="center" wrapText="1"/>
    </xf>
    <xf numFmtId="0" fontId="121" fillId="42" borderId="51" xfId="0" applyFont="1" applyFill="1" applyBorder="1" applyAlignment="1">
      <alignment horizontal="center" vertical="center" wrapText="1"/>
    </xf>
    <xf numFmtId="0" fontId="4" fillId="42" borderId="51" xfId="0" applyFont="1" applyFill="1" applyBorder="1" applyAlignment="1">
      <alignment horizontal="center" vertical="center" wrapText="1"/>
    </xf>
    <xf numFmtId="2" fontId="4" fillId="42" borderId="51" xfId="0" applyNumberFormat="1" applyFont="1" applyFill="1" applyBorder="1" applyAlignment="1">
      <alignment horizontal="center" vertical="center" wrapText="1"/>
    </xf>
    <xf numFmtId="2" fontId="4" fillId="42" borderId="48" xfId="0" applyNumberFormat="1" applyFont="1" applyFill="1" applyBorder="1" applyAlignment="1">
      <alignment horizontal="center" vertical="center" wrapText="1"/>
    </xf>
    <xf numFmtId="4" fontId="4" fillId="42" borderId="49" xfId="5" applyNumberFormat="1" applyFont="1" applyFill="1" applyBorder="1" applyAlignment="1">
      <alignment horizontal="center" vertical="center" wrapText="1"/>
    </xf>
    <xf numFmtId="4" fontId="4" fillId="42" borderId="51" xfId="4" applyNumberFormat="1" applyFont="1" applyFill="1" applyBorder="1" applyAlignment="1">
      <alignment horizontal="center" vertical="center" wrapText="1"/>
    </xf>
    <xf numFmtId="2" fontId="4" fillId="42" borderId="53" xfId="0" applyNumberFormat="1" applyFont="1" applyFill="1" applyBorder="1" applyAlignment="1">
      <alignment horizontal="center" vertical="center" wrapText="1"/>
    </xf>
    <xf numFmtId="0" fontId="8" fillId="0" borderId="70" xfId="0" applyFont="1" applyFill="1" applyBorder="1" applyAlignment="1">
      <alignment horizontal="center" vertical="center" wrapText="1"/>
    </xf>
    <xf numFmtId="0" fontId="8" fillId="0" borderId="67" xfId="0" applyFont="1" applyFill="1" applyBorder="1" applyAlignment="1">
      <alignment horizontal="center" vertical="center" wrapText="1"/>
    </xf>
    <xf numFmtId="0" fontId="8" fillId="0" borderId="71" xfId="0" applyFont="1" applyFill="1" applyBorder="1" applyAlignment="1">
      <alignment horizontal="center" vertical="center" wrapText="1"/>
    </xf>
    <xf numFmtId="0" fontId="8" fillId="0" borderId="64" xfId="0" applyFont="1" applyFill="1" applyBorder="1" applyAlignment="1">
      <alignment horizontal="center" vertical="center" wrapText="1"/>
    </xf>
    <xf numFmtId="0" fontId="8" fillId="0" borderId="65" xfId="0" applyFont="1" applyFill="1" applyBorder="1" applyAlignment="1">
      <alignment horizontal="center" vertical="center" wrapText="1"/>
    </xf>
    <xf numFmtId="0" fontId="8" fillId="0" borderId="72" xfId="0" applyFont="1" applyFill="1" applyBorder="1" applyAlignment="1">
      <alignment horizontal="center" vertical="center" wrapText="1"/>
    </xf>
    <xf numFmtId="0" fontId="8" fillId="0" borderId="68" xfId="0" applyFont="1" applyFill="1" applyBorder="1" applyAlignment="1">
      <alignment horizontal="center" vertical="center" wrapText="1"/>
    </xf>
    <xf numFmtId="0" fontId="8" fillId="0" borderId="66" xfId="0" applyFont="1" applyFill="1" applyBorder="1" applyAlignment="1">
      <alignment horizontal="center" vertical="center" wrapText="1"/>
    </xf>
    <xf numFmtId="0" fontId="13" fillId="40" borderId="33" xfId="1" applyFont="1" applyFill="1" applyBorder="1" applyAlignment="1">
      <alignment horizontal="center" vertical="center" wrapText="1"/>
    </xf>
    <xf numFmtId="0" fontId="8" fillId="40" borderId="73" xfId="0" applyFont="1" applyFill="1" applyBorder="1" applyAlignment="1">
      <alignment horizontal="center" vertical="center" wrapText="1"/>
    </xf>
    <xf numFmtId="0" fontId="8" fillId="40" borderId="74" xfId="0" applyFont="1" applyFill="1" applyBorder="1" applyAlignment="1">
      <alignment horizontal="center" vertical="center" wrapText="1"/>
    </xf>
    <xf numFmtId="0" fontId="8" fillId="40" borderId="75" xfId="0" applyFont="1" applyFill="1" applyBorder="1" applyAlignment="1">
      <alignment horizontal="center" vertical="center" wrapText="1"/>
    </xf>
    <xf numFmtId="0" fontId="8" fillId="40" borderId="76" xfId="0" applyFont="1" applyFill="1" applyBorder="1" applyAlignment="1">
      <alignment horizontal="center" vertical="center" wrapText="1"/>
    </xf>
    <xf numFmtId="0" fontId="8" fillId="40" borderId="77" xfId="0" applyFont="1" applyFill="1" applyBorder="1" applyAlignment="1">
      <alignment horizontal="center" vertical="center" wrapText="1"/>
    </xf>
    <xf numFmtId="49" fontId="10" fillId="40" borderId="79" xfId="1" applyNumberFormat="1" applyFont="1" applyFill="1" applyBorder="1" applyAlignment="1">
      <alignment horizontal="center" vertical="center" wrapText="1"/>
    </xf>
    <xf numFmtId="0" fontId="10" fillId="40" borderId="75" xfId="1" applyFont="1" applyFill="1" applyBorder="1" applyAlignment="1">
      <alignment horizontal="left" vertical="center" wrapText="1"/>
    </xf>
    <xf numFmtId="2" fontId="4" fillId="0" borderId="79" xfId="0" applyNumberFormat="1" applyFont="1" applyFill="1" applyBorder="1" applyAlignment="1">
      <alignment horizontal="center" vertical="center" wrapText="1"/>
    </xf>
    <xf numFmtId="2" fontId="4" fillId="3" borderId="73" xfId="0" applyNumberFormat="1" applyFont="1" applyFill="1" applyBorder="1" applyAlignment="1">
      <alignment horizontal="center" vertical="center" wrapText="1"/>
    </xf>
    <xf numFmtId="2" fontId="4" fillId="0" borderId="80" xfId="0" applyNumberFormat="1" applyFont="1" applyFill="1" applyBorder="1" applyAlignment="1">
      <alignment horizontal="center" vertical="center" wrapText="1"/>
    </xf>
    <xf numFmtId="2" fontId="4" fillId="0" borderId="74" xfId="0" applyNumberFormat="1" applyFont="1" applyFill="1" applyBorder="1" applyAlignment="1">
      <alignment horizontal="center" vertical="center" wrapText="1"/>
    </xf>
    <xf numFmtId="2" fontId="4" fillId="3" borderId="79" xfId="0" applyNumberFormat="1" applyFont="1" applyFill="1" applyBorder="1" applyAlignment="1">
      <alignment horizontal="center" vertical="center" wrapText="1"/>
    </xf>
    <xf numFmtId="2" fontId="4" fillId="0" borderId="73" xfId="4" applyNumberFormat="1" applyFont="1" applyFill="1" applyBorder="1" applyAlignment="1">
      <alignment horizontal="center" vertical="center" wrapText="1"/>
    </xf>
    <xf numFmtId="2" fontId="4" fillId="3" borderId="78" xfId="0" applyNumberFormat="1" applyFont="1" applyFill="1" applyBorder="1" applyAlignment="1">
      <alignment horizontal="center" vertical="center" wrapText="1"/>
    </xf>
    <xf numFmtId="2" fontId="4" fillId="0" borderId="74" xfId="4" applyNumberFormat="1" applyFont="1" applyFill="1" applyBorder="1" applyAlignment="1">
      <alignment horizontal="center" vertical="center" wrapText="1"/>
    </xf>
    <xf numFmtId="2" fontId="6" fillId="0" borderId="54" xfId="0" applyNumberFormat="1" applyFont="1" applyFill="1" applyBorder="1" applyAlignment="1">
      <alignment horizontal="center" vertical="center" wrapText="1"/>
    </xf>
    <xf numFmtId="0" fontId="6" fillId="0" borderId="51" xfId="3" applyFont="1" applyFill="1" applyBorder="1" applyAlignment="1">
      <alignment horizontal="left" vertical="center" wrapText="1"/>
    </xf>
    <xf numFmtId="2" fontId="121" fillId="0" borderId="73" xfId="0" applyNumberFormat="1" applyFont="1" applyFill="1" applyBorder="1" applyAlignment="1">
      <alignment horizontal="center" vertical="center" wrapText="1"/>
    </xf>
    <xf numFmtId="2" fontId="6" fillId="0" borderId="73" xfId="0" applyNumberFormat="1" applyFont="1" applyFill="1" applyBorder="1" applyAlignment="1">
      <alignment horizontal="center" vertical="center" wrapText="1"/>
    </xf>
    <xf numFmtId="0" fontId="121" fillId="39" borderId="50" xfId="0" applyFont="1" applyFill="1" applyBorder="1" applyAlignment="1">
      <alignment horizontal="right" vertical="center" wrapText="1"/>
    </xf>
    <xf numFmtId="2" fontId="139" fillId="0" borderId="73" xfId="0" applyNumberFormat="1" applyFont="1" applyFill="1" applyBorder="1" applyAlignment="1">
      <alignment horizontal="center" vertical="center" wrapText="1"/>
    </xf>
    <xf numFmtId="2" fontId="139" fillId="0" borderId="33" xfId="0" applyNumberFormat="1" applyFont="1" applyFill="1" applyBorder="1" applyAlignment="1">
      <alignment horizontal="center" vertical="center" wrapText="1"/>
    </xf>
    <xf numFmtId="2" fontId="139" fillId="0" borderId="51" xfId="0" applyNumberFormat="1" applyFont="1" applyFill="1" applyBorder="1" applyAlignment="1">
      <alignment horizontal="center" vertical="center" wrapText="1"/>
    </xf>
    <xf numFmtId="2" fontId="4" fillId="3" borderId="74" xfId="0" applyNumberFormat="1" applyFont="1" applyFill="1" applyBorder="1" applyAlignment="1">
      <alignment horizontal="center" vertical="center" wrapText="1"/>
    </xf>
    <xf numFmtId="0" fontId="4" fillId="0" borderId="76" xfId="0" applyFont="1" applyFill="1" applyBorder="1" applyAlignment="1">
      <alignment horizontal="center" vertical="center" wrapText="1"/>
    </xf>
    <xf numFmtId="0" fontId="4" fillId="0" borderId="54" xfId="0" applyFont="1" applyFill="1" applyBorder="1" applyAlignment="1">
      <alignment horizontal="center" vertical="center" wrapText="1"/>
    </xf>
    <xf numFmtId="49" fontId="4" fillId="0" borderId="54" xfId="0" quotePrefix="1" applyNumberFormat="1" applyFont="1" applyFill="1" applyBorder="1" applyAlignment="1">
      <alignment horizontal="center" vertical="center"/>
    </xf>
    <xf numFmtId="0" fontId="140" fillId="0" borderId="51" xfId="0" applyFont="1" applyFill="1" applyBorder="1" applyAlignment="1">
      <alignment horizontal="center" vertical="center"/>
    </xf>
    <xf numFmtId="0" fontId="141" fillId="0" borderId="51" xfId="0" applyFont="1" applyBorder="1" applyAlignment="1">
      <alignment horizontal="center" vertical="center" wrapText="1"/>
    </xf>
    <xf numFmtId="0" fontId="126" fillId="0" borderId="51" xfId="0" applyFont="1" applyFill="1" applyBorder="1" applyAlignment="1">
      <alignment horizontal="center" vertical="center"/>
    </xf>
    <xf numFmtId="0" fontId="140" fillId="0" borderId="74" xfId="0" applyFont="1" applyFill="1" applyBorder="1" applyAlignment="1">
      <alignment horizontal="center" vertical="center"/>
    </xf>
    <xf numFmtId="0" fontId="126" fillId="0" borderId="33" xfId="0" applyFont="1" applyFill="1" applyBorder="1" applyAlignment="1">
      <alignment horizontal="center" vertical="center"/>
    </xf>
    <xf numFmtId="0" fontId="142" fillId="0" borderId="33" xfId="0" applyNumberFormat="1" applyFont="1" applyFill="1" applyBorder="1" applyAlignment="1">
      <alignment horizontal="center" vertical="center" wrapText="1"/>
    </xf>
    <xf numFmtId="0" fontId="142" fillId="0" borderId="7" xfId="0" applyNumberFormat="1" applyFont="1" applyFill="1" applyBorder="1" applyAlignment="1">
      <alignment horizontal="center" vertical="center" wrapText="1"/>
    </xf>
    <xf numFmtId="0" fontId="142" fillId="0" borderId="55" xfId="0" applyNumberFormat="1" applyFont="1" applyFill="1" applyBorder="1" applyAlignment="1">
      <alignment horizontal="center" vertical="center" wrapText="1"/>
    </xf>
    <xf numFmtId="2" fontId="6" fillId="42" borderId="5" xfId="18820" applyNumberFormat="1" applyFont="1" applyFill="1" applyBorder="1" applyAlignment="1">
      <alignment horizontal="center" vertical="center" wrapText="1"/>
    </xf>
    <xf numFmtId="2" fontId="6" fillId="42" borderId="6" xfId="18820" applyNumberFormat="1" applyFont="1" applyFill="1" applyBorder="1" applyAlignment="1">
      <alignment horizontal="center" vertical="center" wrapText="1"/>
    </xf>
    <xf numFmtId="2" fontId="6" fillId="42" borderId="8" xfId="18820" applyNumberFormat="1" applyFont="1" applyFill="1" applyBorder="1" applyAlignment="1">
      <alignment horizontal="center" vertical="center" wrapText="1"/>
    </xf>
    <xf numFmtId="49" fontId="6" fillId="42" borderId="5" xfId="0" quotePrefix="1" applyNumberFormat="1" applyFont="1" applyFill="1" applyBorder="1" applyAlignment="1">
      <alignment horizontal="center" vertical="center"/>
    </xf>
    <xf numFmtId="0" fontId="10" fillId="41" borderId="52" xfId="0" applyFont="1" applyFill="1" applyBorder="1" applyAlignment="1">
      <alignment horizontal="center" vertical="center" wrapText="1"/>
    </xf>
    <xf numFmtId="0" fontId="137" fillId="41" borderId="51" xfId="0" applyFont="1" applyFill="1" applyBorder="1" applyAlignment="1">
      <alignment horizontal="center" vertical="center" wrapText="1"/>
    </xf>
    <xf numFmtId="0" fontId="10" fillId="41" borderId="51" xfId="0" applyFont="1" applyFill="1" applyBorder="1" applyAlignment="1">
      <alignment horizontal="left" vertical="center" wrapText="1"/>
    </xf>
    <xf numFmtId="0" fontId="132" fillId="41" borderId="51" xfId="0" applyFont="1" applyFill="1" applyBorder="1" applyAlignment="1">
      <alignment horizontal="center" vertical="center" wrapText="1"/>
    </xf>
    <xf numFmtId="0" fontId="132" fillId="41" borderId="48" xfId="0" applyFont="1" applyFill="1" applyBorder="1" applyAlignment="1">
      <alignment horizontal="center" vertical="center" wrapText="1"/>
    </xf>
    <xf numFmtId="2" fontId="137" fillId="41" borderId="39" xfId="0" applyNumberFormat="1" applyFont="1" applyFill="1" applyBorder="1" applyAlignment="1">
      <alignment horizontal="center" vertical="center" wrapText="1"/>
    </xf>
    <xf numFmtId="0" fontId="8" fillId="41" borderId="49" xfId="0" applyFont="1" applyFill="1" applyBorder="1" applyAlignment="1">
      <alignment horizontal="center" vertical="center" wrapText="1"/>
    </xf>
    <xf numFmtId="0" fontId="8" fillId="41" borderId="51" xfId="0" applyFont="1" applyFill="1" applyBorder="1" applyAlignment="1">
      <alignment horizontal="center" vertical="center" wrapText="1"/>
    </xf>
    <xf numFmtId="0" fontId="8" fillId="41" borderId="53" xfId="0" applyFont="1" applyFill="1" applyBorder="1" applyAlignment="1">
      <alignment horizontal="center" vertical="center" wrapText="1"/>
    </xf>
    <xf numFmtId="2" fontId="10" fillId="41" borderId="59" xfId="0" applyNumberFormat="1" applyFont="1" applyFill="1" applyBorder="1" applyAlignment="1">
      <alignment horizontal="center" vertical="center" wrapText="1"/>
    </xf>
    <xf numFmtId="2" fontId="10" fillId="41" borderId="51" xfId="0" applyNumberFormat="1" applyFont="1" applyFill="1" applyBorder="1" applyAlignment="1">
      <alignment horizontal="center" vertical="center" wrapText="1"/>
    </xf>
    <xf numFmtId="2" fontId="10" fillId="41" borderId="60" xfId="0" applyNumberFormat="1" applyFont="1" applyFill="1" applyBorder="1" applyAlignment="1">
      <alignment horizontal="center" vertical="center" wrapText="1"/>
    </xf>
    <xf numFmtId="2" fontId="6" fillId="42" borderId="58" xfId="18820" applyNumberFormat="1" applyFont="1" applyFill="1" applyBorder="1" applyAlignment="1">
      <alignment horizontal="center" vertical="center" wrapText="1"/>
    </xf>
    <xf numFmtId="2" fontId="6" fillId="42" borderId="51" xfId="18820" applyNumberFormat="1" applyFont="1" applyFill="1" applyBorder="1" applyAlignment="1">
      <alignment horizontal="center" vertical="center" wrapText="1"/>
    </xf>
    <xf numFmtId="0" fontId="138" fillId="41" borderId="51" xfId="0" applyFont="1" applyFill="1" applyBorder="1" applyAlignment="1">
      <alignment horizontal="center" vertical="center" wrapText="1"/>
    </xf>
    <xf numFmtId="0" fontId="4" fillId="0" borderId="75" xfId="3" applyFont="1" applyFill="1" applyBorder="1" applyAlignment="1">
      <alignment horizontal="left" vertical="center" wrapText="1"/>
    </xf>
    <xf numFmtId="2" fontId="4" fillId="0" borderId="74" xfId="18820" applyNumberFormat="1" applyFont="1" applyFill="1" applyBorder="1" applyAlignment="1">
      <alignment horizontal="center" vertical="center" wrapText="1"/>
    </xf>
    <xf numFmtId="2" fontId="130" fillId="0" borderId="75" xfId="3" applyNumberFormat="1" applyFont="1" applyFill="1" applyBorder="1" applyAlignment="1">
      <alignment horizontal="left" vertical="center" wrapText="1"/>
    </xf>
    <xf numFmtId="0" fontId="132" fillId="42" borderId="50" xfId="0" applyFont="1" applyFill="1" applyBorder="1" applyAlignment="1">
      <alignment horizontal="center" vertical="center"/>
    </xf>
    <xf numFmtId="0" fontId="144" fillId="0" borderId="51" xfId="0" applyFont="1" applyFill="1" applyBorder="1" applyAlignment="1">
      <alignment horizontal="center" vertical="center"/>
    </xf>
    <xf numFmtId="0" fontId="140" fillId="42" borderId="51" xfId="0" applyFont="1" applyFill="1" applyBorder="1" applyAlignment="1">
      <alignment horizontal="center" vertical="center"/>
    </xf>
    <xf numFmtId="0" fontId="144" fillId="0" borderId="51" xfId="0" applyFont="1" applyBorder="1" applyAlignment="1">
      <alignment horizontal="center" vertical="center" wrapText="1"/>
    </xf>
    <xf numFmtId="0" fontId="121" fillId="39" borderId="43" xfId="0" applyFont="1" applyFill="1" applyBorder="1" applyAlignment="1">
      <alignment horizontal="right" vertical="center" wrapText="1"/>
    </xf>
    <xf numFmtId="2" fontId="4" fillId="0" borderId="55" xfId="0" applyNumberFormat="1" applyFont="1" applyFill="1" applyBorder="1" applyAlignment="1">
      <alignment horizontal="center" vertical="center" wrapText="1"/>
    </xf>
    <xf numFmtId="2" fontId="4" fillId="0" borderId="73" xfId="0" applyNumberFormat="1" applyFont="1" applyFill="1" applyBorder="1" applyAlignment="1">
      <alignment horizontal="center" vertical="center" wrapText="1"/>
    </xf>
    <xf numFmtId="0" fontId="4" fillId="0" borderId="74" xfId="1" applyFont="1" applyFill="1" applyBorder="1" applyAlignment="1">
      <alignment horizontal="center" vertical="center" wrapText="1"/>
    </xf>
    <xf numFmtId="2" fontId="4" fillId="0" borderId="75" xfId="0" applyNumberFormat="1" applyFont="1" applyFill="1" applyBorder="1" applyAlignment="1">
      <alignment horizontal="center" vertical="center" wrapText="1"/>
    </xf>
    <xf numFmtId="2" fontId="4" fillId="0" borderId="8" xfId="0" applyNumberFormat="1" applyFont="1" applyFill="1" applyBorder="1" applyAlignment="1">
      <alignment horizontal="center" vertical="center" wrapText="1"/>
    </xf>
    <xf numFmtId="2" fontId="4" fillId="0" borderId="5" xfId="0" applyNumberFormat="1" applyFont="1" applyFill="1" applyBorder="1" applyAlignment="1">
      <alignment horizontal="center" vertical="center" wrapText="1"/>
    </xf>
    <xf numFmtId="2" fontId="4" fillId="0" borderId="6" xfId="0" applyNumberFormat="1" applyFont="1" applyFill="1" applyBorder="1" applyAlignment="1">
      <alignment horizontal="center" vertical="center" wrapText="1"/>
    </xf>
    <xf numFmtId="0" fontId="4" fillId="0" borderId="74" xfId="0" applyFont="1" applyFill="1" applyBorder="1" applyAlignment="1">
      <alignment horizontal="left" vertical="center" wrapText="1"/>
    </xf>
    <xf numFmtId="49" fontId="6" fillId="42" borderId="52" xfId="1" applyNumberFormat="1" applyFont="1" applyFill="1" applyBorder="1" applyAlignment="1">
      <alignment horizontal="center" vertical="center" wrapText="1"/>
    </xf>
    <xf numFmtId="2" fontId="4" fillId="42" borderId="74" xfId="0" applyNumberFormat="1" applyFont="1" applyFill="1" applyBorder="1" applyAlignment="1">
      <alignment horizontal="center" vertical="center" wrapText="1"/>
    </xf>
    <xf numFmtId="2" fontId="6" fillId="42" borderId="74" xfId="18820" applyNumberFormat="1" applyFont="1" applyFill="1" applyBorder="1" applyAlignment="1">
      <alignment horizontal="center" vertical="center" wrapText="1"/>
    </xf>
    <xf numFmtId="0" fontId="129" fillId="39" borderId="50" xfId="0" applyFont="1" applyFill="1" applyBorder="1" applyAlignment="1">
      <alignment horizontal="right" vertical="center" wrapText="1"/>
    </xf>
    <xf numFmtId="2" fontId="121" fillId="0" borderId="74" xfId="0" applyNumberFormat="1" applyFont="1" applyFill="1" applyBorder="1" applyAlignment="1">
      <alignment horizontal="center" vertical="center" wrapText="1"/>
    </xf>
    <xf numFmtId="2" fontId="145" fillId="0" borderId="6" xfId="3" applyNumberFormat="1" applyFont="1" applyFill="1" applyBorder="1" applyAlignment="1">
      <alignment horizontal="center" vertical="center" wrapText="1"/>
    </xf>
    <xf numFmtId="2" fontId="6" fillId="0" borderId="74" xfId="0" applyNumberFormat="1" applyFont="1" applyFill="1" applyBorder="1" applyAlignment="1">
      <alignment horizontal="center" vertical="center" wrapText="1"/>
    </xf>
    <xf numFmtId="2" fontId="4" fillId="0" borderId="6" xfId="4" applyNumberFormat="1" applyFont="1" applyFill="1" applyBorder="1" applyAlignment="1">
      <alignment horizontal="center" vertical="center" wrapText="1"/>
    </xf>
    <xf numFmtId="0" fontId="126" fillId="0" borderId="74" xfId="0" applyFont="1" applyFill="1" applyBorder="1" applyAlignment="1">
      <alignment horizontal="center" vertical="center"/>
    </xf>
    <xf numFmtId="2" fontId="121" fillId="39" borderId="74" xfId="0" applyNumberFormat="1" applyFont="1" applyFill="1" applyBorder="1" applyAlignment="1">
      <alignment horizontal="right" vertical="center" wrapText="1"/>
    </xf>
    <xf numFmtId="2" fontId="121" fillId="0" borderId="75" xfId="0" applyNumberFormat="1" applyFont="1" applyFill="1" applyBorder="1" applyAlignment="1">
      <alignment horizontal="center" vertical="center" wrapText="1"/>
    </xf>
    <xf numFmtId="2" fontId="129" fillId="0" borderId="74" xfId="3" applyNumberFormat="1" applyFont="1" applyFill="1" applyBorder="1" applyAlignment="1">
      <alignment horizontal="center" vertical="center" wrapText="1"/>
    </xf>
    <xf numFmtId="0" fontId="143" fillId="41" borderId="51" xfId="0" applyFont="1" applyFill="1" applyBorder="1" applyAlignment="1">
      <alignment horizontal="center" vertical="center" wrapText="1"/>
    </xf>
    <xf numFmtId="0" fontId="121" fillId="0" borderId="75" xfId="0" applyFont="1" applyFill="1" applyBorder="1" applyAlignment="1">
      <alignment horizontal="center" vertical="center" wrapText="1"/>
    </xf>
    <xf numFmtId="2" fontId="4" fillId="41" borderId="55" xfId="0" applyNumberFormat="1" applyFont="1" applyFill="1" applyBorder="1" applyAlignment="1">
      <alignment horizontal="center" vertical="center" wrapText="1"/>
    </xf>
    <xf numFmtId="2" fontId="4" fillId="42" borderId="55" xfId="0" applyNumberFormat="1" applyFont="1" applyFill="1" applyBorder="1" applyAlignment="1">
      <alignment horizontal="center" vertical="center" wrapText="1"/>
    </xf>
    <xf numFmtId="0" fontId="6" fillId="0" borderId="74" xfId="3" applyFont="1" applyFill="1" applyBorder="1" applyAlignment="1">
      <alignment horizontal="center" vertical="center" wrapText="1"/>
    </xf>
    <xf numFmtId="0" fontId="8" fillId="0" borderId="74" xfId="0" applyFont="1" applyFill="1" applyBorder="1"/>
    <xf numFmtId="0" fontId="121" fillId="0" borderId="74" xfId="0" applyFont="1" applyFill="1" applyBorder="1" applyAlignment="1">
      <alignment horizontal="center" vertical="center" wrapText="1"/>
    </xf>
    <xf numFmtId="0" fontId="6" fillId="0" borderId="74" xfId="1" applyFont="1" applyFill="1" applyBorder="1" applyAlignment="1">
      <alignment horizontal="center" vertical="center" wrapText="1"/>
    </xf>
    <xf numFmtId="0" fontId="121" fillId="0" borderId="74" xfId="1" applyFont="1" applyFill="1" applyBorder="1" applyAlignment="1">
      <alignment horizontal="center" vertical="center" wrapText="1"/>
    </xf>
    <xf numFmtId="2" fontId="121" fillId="0" borderId="74" xfId="3" applyNumberFormat="1" applyFont="1" applyFill="1" applyBorder="1" applyAlignment="1">
      <alignment horizontal="center" vertical="center" wrapText="1"/>
    </xf>
    <xf numFmtId="2" fontId="131" fillId="0" borderId="74" xfId="3" applyNumberFormat="1" applyFont="1" applyFill="1" applyBorder="1" applyAlignment="1">
      <alignment horizontal="center" vertical="center" wrapText="1"/>
    </xf>
    <xf numFmtId="0" fontId="6" fillId="0" borderId="74" xfId="0" applyFont="1" applyFill="1" applyBorder="1" applyAlignment="1">
      <alignment horizontal="center" vertical="center" wrapText="1"/>
    </xf>
    <xf numFmtId="0" fontId="4" fillId="0" borderId="74" xfId="0" applyFont="1" applyFill="1" applyBorder="1" applyAlignment="1">
      <alignment horizontal="center" vertical="center" wrapText="1"/>
    </xf>
    <xf numFmtId="0" fontId="4" fillId="42" borderId="74" xfId="1" applyFont="1" applyFill="1" applyBorder="1" applyAlignment="1">
      <alignment horizontal="center" vertical="center" wrapText="1"/>
    </xf>
    <xf numFmtId="0" fontId="4" fillId="41" borderId="74" xfId="0" applyFont="1" applyFill="1" applyBorder="1" applyAlignment="1">
      <alignment horizontal="center" vertical="center" wrapText="1"/>
    </xf>
    <xf numFmtId="2" fontId="4" fillId="41" borderId="74" xfId="0" applyNumberFormat="1" applyFont="1" applyFill="1" applyBorder="1" applyAlignment="1">
      <alignment horizontal="center" vertical="center" wrapText="1"/>
    </xf>
    <xf numFmtId="0" fontId="4" fillId="42" borderId="74" xfId="0" applyFont="1" applyFill="1" applyBorder="1" applyAlignment="1">
      <alignment horizontal="center" vertical="center" wrapText="1"/>
    </xf>
    <xf numFmtId="49" fontId="10" fillId="41" borderId="51" xfId="0" quotePrefix="1" applyNumberFormat="1" applyFont="1" applyFill="1" applyBorder="1" applyAlignment="1">
      <alignment horizontal="center" vertical="center"/>
    </xf>
    <xf numFmtId="49" fontId="10" fillId="42" borderId="51" xfId="0" quotePrefix="1" applyNumberFormat="1" applyFont="1" applyFill="1" applyBorder="1" applyAlignment="1">
      <alignment horizontal="center" vertical="center"/>
    </xf>
    <xf numFmtId="2" fontId="6" fillId="0" borderId="73" xfId="1" applyNumberFormat="1" applyFont="1" applyFill="1" applyBorder="1" applyAlignment="1">
      <alignment horizontal="center" vertical="center" wrapText="1"/>
    </xf>
    <xf numFmtId="2" fontId="4" fillId="42" borderId="73" xfId="0" applyNumberFormat="1" applyFont="1" applyFill="1" applyBorder="1" applyAlignment="1">
      <alignment horizontal="center" vertical="center" wrapText="1"/>
    </xf>
    <xf numFmtId="2" fontId="6" fillId="0" borderId="74" xfId="1" applyNumberFormat="1" applyFont="1" applyFill="1" applyBorder="1" applyAlignment="1">
      <alignment horizontal="center" vertical="center" wrapText="1"/>
    </xf>
    <xf numFmtId="4" fontId="4" fillId="41" borderId="74" xfId="4" applyNumberFormat="1" applyFont="1" applyFill="1" applyBorder="1" applyAlignment="1">
      <alignment horizontal="center" vertical="center" wrapText="1"/>
    </xf>
    <xf numFmtId="4" fontId="4" fillId="42" borderId="74" xfId="4" applyNumberFormat="1" applyFont="1" applyFill="1" applyBorder="1" applyAlignment="1">
      <alignment horizontal="center" vertical="center" wrapText="1"/>
    </xf>
    <xf numFmtId="2" fontId="6" fillId="41" borderId="59" xfId="0" applyNumberFormat="1" applyFont="1" applyFill="1" applyBorder="1" applyAlignment="1">
      <alignment horizontal="center" vertical="center" wrapText="1"/>
    </xf>
    <xf numFmtId="2" fontId="6" fillId="41" borderId="74" xfId="0" applyNumberFormat="1" applyFont="1" applyFill="1" applyBorder="1" applyAlignment="1">
      <alignment horizontal="center" vertical="center" wrapText="1"/>
    </xf>
    <xf numFmtId="2" fontId="6" fillId="41" borderId="60" xfId="0" applyNumberFormat="1" applyFont="1" applyFill="1" applyBorder="1" applyAlignment="1">
      <alignment horizontal="center" vertical="center" wrapText="1"/>
    </xf>
    <xf numFmtId="2" fontId="6" fillId="41" borderId="51" xfId="0" applyNumberFormat="1" applyFont="1" applyFill="1" applyBorder="1" applyAlignment="1">
      <alignment horizontal="center" vertical="center" wrapText="1"/>
    </xf>
    <xf numFmtId="2" fontId="6" fillId="40" borderId="78" xfId="0" applyNumberFormat="1" applyFont="1" applyFill="1" applyBorder="1" applyAlignment="1">
      <alignment horizontal="center" vertical="center" wrapText="1"/>
    </xf>
    <xf numFmtId="2" fontId="6" fillId="40" borderId="74" xfId="0" applyNumberFormat="1" applyFont="1" applyFill="1" applyBorder="1" applyAlignment="1">
      <alignment horizontal="center" vertical="center" wrapText="1"/>
    </xf>
    <xf numFmtId="2" fontId="6" fillId="40" borderId="77" xfId="0" applyNumberFormat="1" applyFont="1" applyFill="1" applyBorder="1" applyAlignment="1">
      <alignment horizontal="center" vertical="center" wrapText="1"/>
    </xf>
    <xf numFmtId="0" fontId="8" fillId="41" borderId="76" xfId="0" applyFont="1" applyFill="1" applyBorder="1" applyAlignment="1">
      <alignment horizontal="center" vertical="center" wrapText="1"/>
    </xf>
    <xf numFmtId="0" fontId="4" fillId="42" borderId="54" xfId="0" applyFont="1" applyFill="1" applyBorder="1" applyAlignment="1">
      <alignment horizontal="center" vertical="center" wrapText="1"/>
    </xf>
    <xf numFmtId="2" fontId="4" fillId="0" borderId="76" xfId="0" applyNumberFormat="1" applyFont="1" applyFill="1" applyBorder="1" applyAlignment="1">
      <alignment horizontal="center" vertical="center" wrapText="1"/>
    </xf>
    <xf numFmtId="0" fontId="4" fillId="41" borderId="76" xfId="0" applyFont="1" applyFill="1" applyBorder="1" applyAlignment="1">
      <alignment horizontal="center" vertical="center" wrapText="1"/>
    </xf>
    <xf numFmtId="0" fontId="4" fillId="42" borderId="76" xfId="0" applyFont="1" applyFill="1" applyBorder="1" applyAlignment="1">
      <alignment horizontal="center" vertical="center" wrapText="1"/>
    </xf>
    <xf numFmtId="0" fontId="4" fillId="2" borderId="69" xfId="0" applyFont="1" applyFill="1" applyBorder="1" applyAlignment="1">
      <alignment horizontal="center" vertical="center" wrapText="1"/>
    </xf>
    <xf numFmtId="0" fontId="139" fillId="0" borderId="75" xfId="0" applyFont="1" applyFill="1" applyBorder="1" applyAlignment="1">
      <alignment horizontal="center" vertical="center" wrapText="1"/>
    </xf>
    <xf numFmtId="0" fontId="121" fillId="0" borderId="75" xfId="0" applyFont="1" applyFill="1" applyBorder="1" applyAlignment="1">
      <alignment horizontal="left" vertical="center" wrapText="1"/>
    </xf>
    <xf numFmtId="0" fontId="126" fillId="0" borderId="74" xfId="0" applyFont="1" applyFill="1" applyBorder="1"/>
    <xf numFmtId="0" fontId="7" fillId="0" borderId="74" xfId="0" applyFont="1" applyFill="1" applyBorder="1"/>
    <xf numFmtId="2" fontId="6" fillId="42" borderId="59" xfId="0" applyNumberFormat="1" applyFont="1" applyFill="1" applyBorder="1" applyAlignment="1">
      <alignment horizontal="center" vertical="center" wrapText="1"/>
    </xf>
    <xf numFmtId="2" fontId="6" fillId="42" borderId="74" xfId="0" applyNumberFormat="1" applyFont="1" applyFill="1" applyBorder="1" applyAlignment="1">
      <alignment horizontal="center" vertical="center" wrapText="1"/>
    </xf>
    <xf numFmtId="2" fontId="6" fillId="42" borderId="60" xfId="0" applyNumberFormat="1" applyFont="1" applyFill="1" applyBorder="1" applyAlignment="1">
      <alignment horizontal="center" vertical="center" wrapText="1"/>
    </xf>
    <xf numFmtId="2" fontId="6" fillId="42" borderId="52" xfId="0" applyNumberFormat="1" applyFont="1" applyFill="1" applyBorder="1" applyAlignment="1">
      <alignment horizontal="center" vertical="center" wrapText="1"/>
    </xf>
    <xf numFmtId="2" fontId="6" fillId="42" borderId="51" xfId="0" applyNumberFormat="1" applyFont="1" applyFill="1" applyBorder="1" applyAlignment="1">
      <alignment horizontal="center" vertical="center" wrapText="1"/>
    </xf>
    <xf numFmtId="2" fontId="6" fillId="42" borderId="53" xfId="0" applyNumberFormat="1" applyFont="1" applyFill="1" applyBorder="1" applyAlignment="1">
      <alignment horizontal="center" vertical="center" wrapText="1"/>
    </xf>
    <xf numFmtId="2" fontId="6" fillId="2" borderId="61" xfId="0" applyNumberFormat="1" applyFont="1" applyFill="1" applyBorder="1" applyAlignment="1">
      <alignment horizontal="center" vertical="center" wrapText="1"/>
    </xf>
    <xf numFmtId="2" fontId="6" fillId="2" borderId="81" xfId="0" applyNumberFormat="1" applyFont="1" applyFill="1" applyBorder="1" applyAlignment="1">
      <alignment horizontal="center" vertical="center" wrapText="1"/>
    </xf>
    <xf numFmtId="2" fontId="6" fillId="2" borderId="63" xfId="0" applyNumberFormat="1" applyFont="1" applyFill="1" applyBorder="1" applyAlignment="1">
      <alignment horizontal="center" vertical="center" wrapText="1"/>
    </xf>
    <xf numFmtId="2" fontId="129" fillId="39" borderId="75" xfId="0" applyNumberFormat="1" applyFont="1" applyFill="1" applyBorder="1" applyAlignment="1">
      <alignment horizontal="right" vertical="center" wrapText="1"/>
    </xf>
    <xf numFmtId="2" fontId="121" fillId="39" borderId="75" xfId="0" applyNumberFormat="1" applyFont="1" applyFill="1" applyBorder="1" applyAlignment="1">
      <alignment horizontal="right" vertical="center" wrapText="1"/>
    </xf>
    <xf numFmtId="0" fontId="121" fillId="39" borderId="75" xfId="0" applyFont="1" applyFill="1" applyBorder="1" applyAlignment="1">
      <alignment horizontal="right" vertical="center" wrapText="1"/>
    </xf>
    <xf numFmtId="2" fontId="129" fillId="0" borderId="74" xfId="0" applyNumberFormat="1" applyFont="1" applyFill="1" applyBorder="1" applyAlignment="1">
      <alignment horizontal="right" vertical="center" wrapText="1"/>
    </xf>
    <xf numFmtId="175" fontId="121" fillId="0" borderId="74" xfId="0" applyNumberFormat="1" applyFont="1" applyFill="1" applyBorder="1" applyAlignment="1">
      <alignment horizontal="center" vertical="center" wrapText="1"/>
    </xf>
    <xf numFmtId="2" fontId="131" fillId="0" borderId="74" xfId="0" applyNumberFormat="1" applyFont="1" applyFill="1" applyBorder="1" applyAlignment="1">
      <alignment horizontal="right" vertical="center" wrapText="1"/>
    </xf>
    <xf numFmtId="175" fontId="139" fillId="0" borderId="6" xfId="0" applyNumberFormat="1" applyFont="1" applyFill="1" applyBorder="1" applyAlignment="1">
      <alignment horizontal="center" vertical="center" wrapText="1"/>
    </xf>
    <xf numFmtId="175" fontId="121" fillId="0" borderId="6" xfId="0" applyNumberFormat="1" applyFont="1" applyFill="1" applyBorder="1" applyAlignment="1">
      <alignment horizontal="center" vertical="center" wrapText="1"/>
    </xf>
    <xf numFmtId="0" fontId="6" fillId="0" borderId="6" xfId="0" applyFont="1" applyFill="1" applyBorder="1" applyAlignment="1">
      <alignment horizontal="left" vertical="center" wrapText="1"/>
    </xf>
    <xf numFmtId="0" fontId="121" fillId="0" borderId="74" xfId="0" applyFont="1" applyFill="1" applyBorder="1" applyAlignment="1">
      <alignment horizontal="right" vertical="center" wrapText="1"/>
    </xf>
    <xf numFmtId="0" fontId="4" fillId="0" borderId="75" xfId="0" applyFont="1" applyFill="1" applyBorder="1" applyAlignment="1">
      <alignment horizontal="left" vertical="center" wrapText="1"/>
    </xf>
    <xf numFmtId="0" fontId="10" fillId="42" borderId="75" xfId="3" applyFont="1" applyFill="1" applyBorder="1" applyAlignment="1">
      <alignment horizontal="left" vertical="center" wrapText="1"/>
    </xf>
    <xf numFmtId="0" fontId="139" fillId="0" borderId="6" xfId="0" applyFont="1" applyFill="1" applyBorder="1" applyAlignment="1">
      <alignment horizontal="left" vertical="center" wrapText="1"/>
    </xf>
    <xf numFmtId="0" fontId="139" fillId="0" borderId="74" xfId="0" applyFont="1" applyFill="1" applyBorder="1" applyAlignment="1">
      <alignment horizontal="center" vertical="center" wrapText="1"/>
    </xf>
    <xf numFmtId="0" fontId="4" fillId="0" borderId="74" xfId="3" applyFont="1" applyFill="1" applyBorder="1" applyAlignment="1">
      <alignment horizontal="left" vertical="center" wrapText="1"/>
    </xf>
    <xf numFmtId="0" fontId="4" fillId="42" borderId="74" xfId="3" applyFont="1" applyFill="1" applyBorder="1" applyAlignment="1">
      <alignment horizontal="left" vertical="center" wrapText="1"/>
    </xf>
    <xf numFmtId="0" fontId="4" fillId="0" borderId="6" xfId="0" applyFont="1" applyFill="1" applyBorder="1" applyAlignment="1">
      <alignment horizontal="left" vertical="center" wrapText="1"/>
    </xf>
    <xf numFmtId="0" fontId="10" fillId="41" borderId="55" xfId="0" applyFont="1" applyFill="1" applyBorder="1" applyAlignment="1">
      <alignment horizontal="left" vertical="center" wrapText="1"/>
    </xf>
    <xf numFmtId="0" fontId="10" fillId="42" borderId="75" xfId="1" applyFont="1" applyFill="1" applyBorder="1" applyAlignment="1">
      <alignment horizontal="left" vertical="center" wrapText="1"/>
    </xf>
    <xf numFmtId="0" fontId="10" fillId="41" borderId="74" xfId="0" applyFont="1" applyFill="1" applyBorder="1" applyAlignment="1">
      <alignment horizontal="left" vertical="center" wrapText="1"/>
    </xf>
    <xf numFmtId="0" fontId="10" fillId="42" borderId="6" xfId="1" applyFont="1" applyFill="1" applyBorder="1" applyAlignment="1">
      <alignment horizontal="left" vertical="center" wrapText="1"/>
    </xf>
    <xf numFmtId="2" fontId="129" fillId="0" borderId="74" xfId="0" applyNumberFormat="1" applyFont="1" applyFill="1" applyBorder="1" applyAlignment="1">
      <alignment horizontal="center" vertical="center" wrapText="1"/>
    </xf>
    <xf numFmtId="199" fontId="121" fillId="0" borderId="6" xfId="0" applyNumberFormat="1" applyFont="1" applyFill="1" applyBorder="1" applyAlignment="1">
      <alignment horizontal="center" vertical="center" wrapText="1"/>
    </xf>
    <xf numFmtId="0" fontId="6" fillId="0" borderId="74" xfId="3" applyFont="1" applyFill="1" applyBorder="1" applyAlignment="1">
      <alignment horizontal="left" vertical="center" wrapText="1"/>
    </xf>
    <xf numFmtId="0" fontId="129" fillId="39" borderId="75" xfId="0" applyFont="1" applyFill="1" applyBorder="1" applyAlignment="1">
      <alignment horizontal="right" vertical="center" wrapText="1"/>
    </xf>
    <xf numFmtId="0" fontId="121" fillId="0" borderId="74" xfId="3" applyFont="1" applyFill="1" applyBorder="1" applyAlignment="1">
      <alignment horizontal="left" vertical="center" wrapText="1"/>
    </xf>
    <xf numFmtId="2" fontId="121" fillId="0" borderId="6" xfId="0" applyNumberFormat="1" applyFont="1" applyFill="1" applyBorder="1" applyAlignment="1">
      <alignment horizontal="center" vertical="center" wrapText="1"/>
    </xf>
    <xf numFmtId="2" fontId="145" fillId="0" borderId="74" xfId="0" applyNumberFormat="1" applyFont="1" applyFill="1" applyBorder="1" applyAlignment="1">
      <alignment horizontal="right" vertical="center" wrapText="1"/>
    </xf>
    <xf numFmtId="175" fontId="6" fillId="0" borderId="6" xfId="0" applyNumberFormat="1" applyFont="1" applyFill="1" applyBorder="1" applyAlignment="1">
      <alignment horizontal="center" vertical="center" wrapText="1"/>
    </xf>
    <xf numFmtId="0" fontId="127" fillId="0" borderId="74" xfId="0" applyFont="1" applyFill="1" applyBorder="1" applyAlignment="1">
      <alignment horizontal="center" vertical="center"/>
    </xf>
    <xf numFmtId="0" fontId="4" fillId="41" borderId="74" xfId="0" applyFont="1" applyFill="1" applyBorder="1" applyAlignment="1">
      <alignment horizontal="left" vertical="center" wrapText="1"/>
    </xf>
    <xf numFmtId="0" fontId="4" fillId="42" borderId="74" xfId="0" applyFont="1" applyFill="1" applyBorder="1" applyAlignment="1">
      <alignment horizontal="left" vertical="center" wrapText="1"/>
    </xf>
    <xf numFmtId="0" fontId="121" fillId="0" borderId="74" xfId="0" applyFont="1" applyFill="1" applyBorder="1" applyAlignment="1">
      <alignment vertical="center" wrapText="1"/>
    </xf>
    <xf numFmtId="0" fontId="6" fillId="0" borderId="74" xfId="0" applyFont="1" applyFill="1" applyBorder="1" applyAlignment="1">
      <alignment horizontal="left" vertical="center" wrapText="1"/>
    </xf>
    <xf numFmtId="2" fontId="139" fillId="0" borderId="6" xfId="0" applyNumberFormat="1" applyFont="1" applyFill="1" applyBorder="1" applyAlignment="1">
      <alignment horizontal="center" vertical="center" wrapText="1"/>
    </xf>
    <xf numFmtId="0" fontId="140" fillId="0" borderId="55" xfId="0" applyFont="1" applyFill="1" applyBorder="1" applyAlignment="1">
      <alignment horizontal="center" vertical="center"/>
    </xf>
    <xf numFmtId="0" fontId="140" fillId="0" borderId="75" xfId="0" applyFont="1" applyFill="1" applyBorder="1" applyAlignment="1">
      <alignment horizontal="center" vertical="center"/>
    </xf>
    <xf numFmtId="0" fontId="140" fillId="41" borderId="55" xfId="0" applyFont="1" applyFill="1" applyBorder="1" applyAlignment="1">
      <alignment horizontal="center" vertical="center"/>
    </xf>
    <xf numFmtId="0" fontId="140" fillId="42" borderId="55" xfId="0" applyFont="1" applyFill="1" applyBorder="1" applyAlignment="1">
      <alignment horizontal="center" vertical="center"/>
    </xf>
    <xf numFmtId="0" fontId="10" fillId="41" borderId="74" xfId="1" applyFont="1" applyFill="1" applyBorder="1" applyAlignment="1">
      <alignment horizontal="left" vertical="center" wrapText="1"/>
    </xf>
    <xf numFmtId="0" fontId="10" fillId="42" borderId="74" xfId="1" applyFont="1" applyFill="1" applyBorder="1" applyAlignment="1">
      <alignment horizontal="left" vertical="center" wrapText="1"/>
    </xf>
    <xf numFmtId="2" fontId="4" fillId="0" borderId="74" xfId="3" applyNumberFormat="1" applyFont="1" applyFill="1" applyBorder="1" applyAlignment="1">
      <alignment horizontal="left" vertical="center" wrapText="1"/>
    </xf>
    <xf numFmtId="0" fontId="146" fillId="0" borderId="0" xfId="0" applyFont="1" applyFill="1" applyBorder="1" applyAlignment="1">
      <alignment horizontal="left" vertical="center" indent="1"/>
    </xf>
    <xf numFmtId="0" fontId="4" fillId="0" borderId="0" xfId="0" applyFont="1" applyFill="1"/>
    <xf numFmtId="0" fontId="4" fillId="0" borderId="0" xfId="0" applyFont="1" applyFill="1" applyAlignment="1">
      <alignment horizontal="left" vertical="center"/>
    </xf>
    <xf numFmtId="0" fontId="4" fillId="0" borderId="0" xfId="0" applyNumberFormat="1" applyFont="1" applyAlignment="1">
      <alignment horizontal="right" vertical="top"/>
    </xf>
    <xf numFmtId="0" fontId="4" fillId="0" borderId="0" xfId="1" applyFont="1" applyFill="1" applyAlignment="1">
      <alignment horizontal="left" vertical="center"/>
    </xf>
    <xf numFmtId="0" fontId="4" fillId="0" borderId="0" xfId="0" applyFont="1" applyFill="1" applyAlignment="1">
      <alignment vertical="center"/>
    </xf>
    <xf numFmtId="0" fontId="4" fillId="0" borderId="0" xfId="0" applyFont="1" applyFill="1" applyAlignment="1"/>
    <xf numFmtId="49" fontId="6" fillId="0" borderId="0" xfId="1" applyNumberFormat="1" applyFont="1" applyAlignment="1">
      <alignment vertical="top" wrapText="1"/>
    </xf>
    <xf numFmtId="49" fontId="4" fillId="0" borderId="0" xfId="1" applyNumberFormat="1" applyFont="1" applyAlignment="1">
      <alignment vertical="top" wrapText="1"/>
    </xf>
    <xf numFmtId="0" fontId="4" fillId="0" borderId="0" xfId="0" applyFont="1" applyFill="1" applyAlignment="1">
      <alignment vertical="top"/>
    </xf>
    <xf numFmtId="49" fontId="4" fillId="0" borderId="0" xfId="1" applyNumberFormat="1" applyFont="1" applyBorder="1" applyAlignment="1">
      <alignment vertical="top" wrapText="1"/>
    </xf>
    <xf numFmtId="0" fontId="4" fillId="0" borderId="0" xfId="1" applyFont="1" applyFill="1" applyBorder="1" applyAlignment="1">
      <alignment horizontal="left" vertical="center"/>
    </xf>
    <xf numFmtId="49" fontId="4" fillId="0" borderId="0" xfId="1" applyNumberFormat="1" applyFont="1" applyFill="1" applyBorder="1" applyAlignment="1">
      <alignment vertical="top" wrapText="1"/>
    </xf>
    <xf numFmtId="2" fontId="4" fillId="0" borderId="0" xfId="0" quotePrefix="1" applyNumberFormat="1" applyFont="1" applyFill="1" applyBorder="1" applyAlignment="1">
      <alignment vertical="top" wrapText="1"/>
    </xf>
    <xf numFmtId="1" fontId="4" fillId="0" borderId="0" xfId="5" applyNumberFormat="1" applyFont="1" applyAlignment="1">
      <alignment horizontal="right" vertical="top"/>
    </xf>
    <xf numFmtId="0" fontId="146" fillId="0" borderId="0" xfId="0" applyFont="1" applyFill="1" applyBorder="1" applyAlignment="1">
      <alignment vertical="center"/>
    </xf>
    <xf numFmtId="0" fontId="146" fillId="0" borderId="0" xfId="0" applyFont="1" applyFill="1" applyBorder="1" applyAlignment="1">
      <alignment horizontal="left" vertical="top" indent="1"/>
    </xf>
    <xf numFmtId="0" fontId="146" fillId="0" borderId="0" xfId="0" applyFont="1" applyFill="1" applyBorder="1" applyAlignment="1">
      <alignment horizontal="right" vertical="center" wrapText="1" indent="1"/>
    </xf>
    <xf numFmtId="0" fontId="146" fillId="0" borderId="0" xfId="0" applyFont="1" applyFill="1" applyBorder="1" applyAlignment="1">
      <alignment horizontal="center" vertical="center"/>
    </xf>
    <xf numFmtId="4" fontId="146" fillId="0" borderId="0" xfId="0" applyNumberFormat="1" applyFont="1" applyFill="1" applyBorder="1" applyAlignment="1">
      <alignment horizontal="center" vertical="center"/>
    </xf>
    <xf numFmtId="4" fontId="146" fillId="0" borderId="0" xfId="0" applyNumberFormat="1" applyFont="1" applyFill="1" applyBorder="1" applyAlignment="1" applyProtection="1">
      <alignment vertical="center"/>
    </xf>
    <xf numFmtId="165" fontId="146" fillId="0" borderId="0" xfId="18820" applyFont="1" applyFill="1" applyBorder="1" applyAlignment="1" applyProtection="1">
      <alignment horizontal="center" vertical="center"/>
    </xf>
    <xf numFmtId="165" fontId="146" fillId="0" borderId="0" xfId="18820" applyFont="1" applyFill="1" applyBorder="1" applyAlignment="1">
      <alignment horizontal="center" vertical="center"/>
    </xf>
    <xf numFmtId="0" fontId="146" fillId="0" borderId="0" xfId="0" applyFont="1" applyFill="1"/>
    <xf numFmtId="0" fontId="146" fillId="0" borderId="0" xfId="0" applyFont="1" applyFill="1" applyAlignment="1">
      <alignment horizontal="left" vertical="center"/>
    </xf>
    <xf numFmtId="0" fontId="11" fillId="0" borderId="0" xfId="0" applyFont="1"/>
    <xf numFmtId="0" fontId="4" fillId="0" borderId="0" xfId="0" applyFont="1" applyFill="1" applyBorder="1" applyAlignment="1">
      <alignment horizontal="left" vertical="top" indent="1"/>
    </xf>
    <xf numFmtId="0" fontId="6" fillId="0" borderId="0" xfId="0" applyFont="1" applyFill="1" applyAlignment="1">
      <alignment vertical="center"/>
    </xf>
    <xf numFmtId="0" fontId="4" fillId="0" borderId="0" xfId="0" applyNumberFormat="1" applyFont="1" applyFill="1" applyAlignment="1">
      <alignment horizontal="right" vertical="top"/>
    </xf>
    <xf numFmtId="0" fontId="4" fillId="0" borderId="0" xfId="1" applyFont="1" applyFill="1"/>
    <xf numFmtId="0" fontId="4" fillId="0" borderId="0" xfId="1" applyFont="1" applyFill="1" applyBorder="1"/>
    <xf numFmtId="0" fontId="11" fillId="0" borderId="0" xfId="0" applyFont="1" applyFill="1" applyBorder="1"/>
    <xf numFmtId="0" fontId="11" fillId="0" borderId="0" xfId="0" applyFont="1" applyFill="1"/>
    <xf numFmtId="0" fontId="11" fillId="0" borderId="0" xfId="0" applyFont="1" applyFill="1" applyBorder="1" applyAlignment="1">
      <alignment horizontal="left" vertical="center"/>
    </xf>
    <xf numFmtId="0" fontId="11" fillId="0" borderId="0" xfId="0" applyFont="1" applyFill="1" applyAlignment="1">
      <alignment horizontal="left" vertical="center"/>
    </xf>
    <xf numFmtId="0" fontId="11" fillId="0" borderId="0" xfId="0" applyFont="1" applyFill="1" applyAlignment="1">
      <alignment wrapText="1"/>
    </xf>
    <xf numFmtId="0" fontId="11" fillId="0" borderId="0" xfId="0" applyFont="1" applyFill="1" applyAlignment="1">
      <alignment horizontal="center" vertical="center"/>
    </xf>
    <xf numFmtId="0" fontId="11" fillId="0" borderId="0" xfId="0" applyFont="1" applyFill="1" applyBorder="1" applyAlignment="1" applyProtection="1"/>
    <xf numFmtId="4" fontId="11" fillId="0" borderId="0" xfId="0" applyNumberFormat="1" applyFont="1" applyFill="1" applyBorder="1" applyAlignment="1" applyProtection="1"/>
    <xf numFmtId="165" fontId="11" fillId="0" borderId="0" xfId="18820" applyFont="1" applyFill="1"/>
    <xf numFmtId="165" fontId="11" fillId="0" borderId="0" xfId="18820" applyFont="1" applyFill="1" applyAlignment="1">
      <alignment horizontal="center"/>
    </xf>
    <xf numFmtId="2" fontId="4" fillId="0" borderId="0" xfId="0" applyNumberFormat="1" applyFont="1" applyFill="1" applyBorder="1" applyAlignment="1">
      <alignment horizontal="left" vertical="top" wrapText="1"/>
    </xf>
    <xf numFmtId="2" fontId="11" fillId="0" borderId="0" xfId="1" applyNumberFormat="1" applyFont="1" applyFill="1" applyAlignment="1">
      <alignment vertical="top" wrapText="1"/>
    </xf>
    <xf numFmtId="2" fontId="11" fillId="0" borderId="0" xfId="1" applyNumberFormat="1" applyFont="1" applyFill="1"/>
    <xf numFmtId="1" fontId="11" fillId="0" borderId="0" xfId="0" applyNumberFormat="1" applyFont="1" applyFill="1"/>
    <xf numFmtId="1" fontId="4" fillId="0" borderId="0" xfId="0" applyNumberFormat="1" applyFont="1" applyFill="1" applyAlignment="1">
      <alignment horizontal="right" vertical="top"/>
    </xf>
    <xf numFmtId="0" fontId="6" fillId="0" borderId="0" xfId="0" quotePrefix="1" applyFont="1" applyFill="1" applyAlignment="1">
      <alignment horizontal="left" vertical="top" wrapText="1"/>
    </xf>
    <xf numFmtId="0" fontId="4" fillId="0" borderId="0" xfId="0" applyFont="1" applyAlignment="1">
      <alignment vertical="top"/>
    </xf>
    <xf numFmtId="0" fontId="148" fillId="0" borderId="77" xfId="1" applyFont="1" applyFill="1" applyBorder="1" applyAlignment="1">
      <alignment horizontal="center" vertical="center" wrapText="1"/>
    </xf>
    <xf numFmtId="1" fontId="129" fillId="0" borderId="51" xfId="3" applyNumberFormat="1" applyFont="1" applyFill="1" applyBorder="1" applyAlignment="1">
      <alignment horizontal="center" vertical="center" wrapText="1"/>
    </xf>
    <xf numFmtId="1" fontId="4" fillId="0" borderId="49" xfId="0" applyNumberFormat="1" applyFont="1" applyFill="1" applyBorder="1" applyAlignment="1">
      <alignment horizontal="center" vertical="center" wrapText="1"/>
    </xf>
    <xf numFmtId="1" fontId="121" fillId="0" borderId="49" xfId="0" applyNumberFormat="1" applyFont="1" applyFill="1" applyBorder="1" applyAlignment="1">
      <alignment horizontal="center" vertical="center" wrapText="1"/>
    </xf>
    <xf numFmtId="1" fontId="121" fillId="0" borderId="51" xfId="0" applyNumberFormat="1" applyFont="1" applyFill="1" applyBorder="1" applyAlignment="1">
      <alignment horizontal="center" vertical="center" wrapText="1"/>
    </xf>
    <xf numFmtId="1" fontId="121" fillId="0" borderId="74" xfId="0" applyNumberFormat="1" applyFont="1" applyFill="1" applyBorder="1" applyAlignment="1">
      <alignment horizontal="center" vertical="center" wrapText="1"/>
    </xf>
    <xf numFmtId="1" fontId="121" fillId="0" borderId="73" xfId="0" applyNumberFormat="1" applyFont="1" applyFill="1" applyBorder="1" applyAlignment="1">
      <alignment horizontal="center" vertical="center" wrapText="1"/>
    </xf>
    <xf numFmtId="1" fontId="121" fillId="0" borderId="39" xfId="0" applyNumberFormat="1" applyFont="1" applyFill="1" applyBorder="1" applyAlignment="1">
      <alignment horizontal="center" vertical="center" wrapText="1"/>
    </xf>
    <xf numFmtId="2" fontId="121" fillId="0" borderId="55" xfId="0" applyNumberFormat="1" applyFont="1" applyFill="1" applyBorder="1" applyAlignment="1">
      <alignment horizontal="center" vertical="center" wrapText="1"/>
    </xf>
    <xf numFmtId="2" fontId="6" fillId="0" borderId="55" xfId="0" applyNumberFormat="1" applyFont="1" applyFill="1" applyBorder="1" applyAlignment="1">
      <alignment horizontal="center" vertical="center" wrapText="1"/>
    </xf>
    <xf numFmtId="0" fontId="150" fillId="0" borderId="0" xfId="0" applyFont="1" applyAlignment="1">
      <alignment vertical="top" wrapText="1"/>
    </xf>
    <xf numFmtId="0" fontId="7" fillId="0" borderId="0" xfId="0" applyFont="1" applyAlignment="1">
      <alignment horizontal="left" vertical="center"/>
    </xf>
    <xf numFmtId="0" fontId="132" fillId="0" borderId="0" xfId="0" applyFont="1" applyAlignment="1">
      <alignment wrapText="1"/>
    </xf>
    <xf numFmtId="0" fontId="5" fillId="0" borderId="0" xfId="0" applyFont="1"/>
    <xf numFmtId="0" fontId="149" fillId="0" borderId="0" xfId="0" applyFont="1" applyAlignment="1">
      <alignment horizontal="left" vertical="center"/>
    </xf>
    <xf numFmtId="0" fontId="150" fillId="0" borderId="0" xfId="0" applyFont="1" applyAlignment="1">
      <alignment horizontal="left" vertical="top" wrapText="1"/>
    </xf>
    <xf numFmtId="2" fontId="127" fillId="39" borderId="75" xfId="0" applyNumberFormat="1" applyFont="1" applyFill="1" applyBorder="1" applyAlignment="1">
      <alignment horizontal="right" vertical="center" wrapText="1"/>
    </xf>
    <xf numFmtId="2" fontId="127" fillId="0" borderId="73" xfId="0" applyNumberFormat="1" applyFont="1" applyFill="1" applyBorder="1" applyAlignment="1">
      <alignment horizontal="center" vertical="center" wrapText="1"/>
    </xf>
    <xf numFmtId="0" fontId="11" fillId="0" borderId="54" xfId="0" applyFont="1" applyFill="1" applyBorder="1" applyAlignment="1">
      <alignment horizontal="center" vertical="center" wrapText="1"/>
    </xf>
    <xf numFmtId="0" fontId="127" fillId="39" borderId="75" xfId="0" applyFont="1" applyFill="1" applyBorder="1" applyAlignment="1">
      <alignment horizontal="right" vertical="center" wrapText="1"/>
    </xf>
    <xf numFmtId="2" fontId="146" fillId="0" borderId="73" xfId="0" applyNumberFormat="1" applyFont="1" applyFill="1" applyBorder="1" applyAlignment="1">
      <alignment horizontal="center" vertical="center" wrapText="1"/>
    </xf>
    <xf numFmtId="175" fontId="121" fillId="0" borderId="49" xfId="0" applyNumberFormat="1" applyFont="1" applyFill="1" applyBorder="1" applyAlignment="1">
      <alignment horizontal="center" vertical="center" wrapText="1"/>
    </xf>
    <xf numFmtId="2" fontId="129" fillId="0" borderId="75" xfId="0" applyNumberFormat="1" applyFont="1" applyFill="1" applyBorder="1" applyAlignment="1">
      <alignment horizontal="right" vertical="center" wrapText="1"/>
    </xf>
    <xf numFmtId="2" fontId="127" fillId="39" borderId="48" xfId="0" applyNumberFormat="1" applyFont="1" applyFill="1" applyBorder="1" applyAlignment="1">
      <alignment horizontal="right" vertical="center" wrapText="1"/>
    </xf>
    <xf numFmtId="1" fontId="4" fillId="0" borderId="33" xfId="0" applyNumberFormat="1" applyFont="1" applyFill="1" applyBorder="1" applyAlignment="1">
      <alignment horizontal="center" vertical="center" wrapText="1"/>
    </xf>
    <xf numFmtId="1" fontId="121" fillId="0" borderId="54" xfId="0" applyNumberFormat="1" applyFont="1" applyFill="1" applyBorder="1" applyAlignment="1">
      <alignment horizontal="center" vertical="center" wrapText="1"/>
    </xf>
    <xf numFmtId="2" fontId="121" fillId="0" borderId="74" xfId="0" applyNumberFormat="1" applyFont="1" applyFill="1" applyBorder="1" applyAlignment="1">
      <alignment horizontal="right" vertical="center" wrapText="1"/>
    </xf>
    <xf numFmtId="199" fontId="4" fillId="0" borderId="49" xfId="0" applyNumberFormat="1" applyFont="1" applyFill="1" applyBorder="1" applyAlignment="1">
      <alignment horizontal="center" vertical="center" wrapText="1"/>
    </xf>
    <xf numFmtId="175" fontId="4" fillId="0" borderId="49" xfId="0" applyNumberFormat="1" applyFont="1" applyFill="1" applyBorder="1" applyAlignment="1">
      <alignment horizontal="center" vertical="center" wrapText="1"/>
    </xf>
    <xf numFmtId="2" fontId="121" fillId="0" borderId="74" xfId="1" applyNumberFormat="1" applyFont="1" applyFill="1" applyBorder="1" applyAlignment="1">
      <alignment horizontal="center" vertical="center" wrapText="1"/>
    </xf>
    <xf numFmtId="2" fontId="131" fillId="0" borderId="7" xfId="1" applyNumberFormat="1" applyFont="1" applyFill="1" applyBorder="1" applyAlignment="1">
      <alignment horizontal="center" vertical="center" wrapText="1"/>
    </xf>
    <xf numFmtId="0" fontId="131" fillId="0" borderId="7" xfId="1" applyFont="1" applyFill="1" applyBorder="1" applyAlignment="1">
      <alignment horizontal="center" vertical="center" wrapText="1"/>
    </xf>
    <xf numFmtId="2" fontId="129" fillId="0" borderId="49" xfId="0" applyNumberFormat="1" applyFont="1" applyFill="1" applyBorder="1" applyAlignment="1">
      <alignment horizontal="center" vertical="center" wrapText="1"/>
    </xf>
    <xf numFmtId="1" fontId="129" fillId="0" borderId="49" xfId="0" applyNumberFormat="1" applyFont="1" applyFill="1" applyBorder="1" applyAlignment="1">
      <alignment horizontal="center" vertical="center" wrapText="1"/>
    </xf>
    <xf numFmtId="0" fontId="8" fillId="0" borderId="54" xfId="0" applyFont="1" applyFill="1" applyBorder="1" applyAlignment="1">
      <alignment horizontal="center" vertical="center" wrapText="1"/>
    </xf>
    <xf numFmtId="0" fontId="144" fillId="0" borderId="51" xfId="0" applyFont="1" applyFill="1" applyBorder="1" applyAlignment="1">
      <alignment horizontal="center" vertical="center" wrapText="1"/>
    </xf>
    <xf numFmtId="2" fontId="11" fillId="0" borderId="49" xfId="0" applyNumberFormat="1" applyFont="1" applyFill="1" applyBorder="1" applyAlignment="1">
      <alignment horizontal="center" vertical="center" wrapText="1"/>
    </xf>
    <xf numFmtId="2" fontId="146" fillId="0" borderId="49" xfId="0" applyNumberFormat="1" applyFont="1" applyFill="1" applyBorder="1" applyAlignment="1">
      <alignment horizontal="center" vertical="center" wrapText="1"/>
    </xf>
    <xf numFmtId="2" fontId="127" fillId="0" borderId="49" xfId="0" applyNumberFormat="1" applyFont="1" applyFill="1" applyBorder="1" applyAlignment="1">
      <alignment horizontal="center" vertical="center" wrapText="1"/>
    </xf>
    <xf numFmtId="1" fontId="127" fillId="0" borderId="49" xfId="0" applyNumberFormat="1" applyFont="1" applyFill="1" applyBorder="1" applyAlignment="1">
      <alignment horizontal="center" vertical="center" wrapText="1"/>
    </xf>
    <xf numFmtId="175" fontId="127" fillId="0" borderId="49" xfId="0" applyNumberFormat="1" applyFont="1" applyFill="1" applyBorder="1" applyAlignment="1">
      <alignment horizontal="center" vertical="center" wrapText="1"/>
    </xf>
    <xf numFmtId="2" fontId="131" fillId="0" borderId="49" xfId="0" applyNumberFormat="1" applyFont="1" applyFill="1" applyBorder="1" applyAlignment="1">
      <alignment horizontal="center" vertical="center" wrapText="1"/>
    </xf>
    <xf numFmtId="175" fontId="129" fillId="0" borderId="49" xfId="0" applyNumberFormat="1" applyFont="1" applyFill="1" applyBorder="1" applyAlignment="1">
      <alignment horizontal="center" vertical="center" wrapText="1"/>
    </xf>
    <xf numFmtId="2" fontId="129" fillId="0" borderId="73" xfId="0" applyNumberFormat="1" applyFont="1" applyFill="1" applyBorder="1" applyAlignment="1">
      <alignment horizontal="center" vertical="center" wrapText="1"/>
    </xf>
    <xf numFmtId="0" fontId="11" fillId="0" borderId="82" xfId="0" applyFont="1" applyFill="1" applyBorder="1" applyAlignment="1">
      <alignment horizontal="left" wrapText="1"/>
    </xf>
    <xf numFmtId="0" fontId="11" fillId="0" borderId="0" xfId="0" applyFont="1" applyFill="1" applyBorder="1" applyAlignment="1">
      <alignment horizontal="left" wrapText="1"/>
    </xf>
    <xf numFmtId="0" fontId="11" fillId="0" borderId="83" xfId="0" applyFont="1" applyFill="1" applyBorder="1" applyAlignment="1">
      <alignment horizontal="left" wrapText="1"/>
    </xf>
    <xf numFmtId="0" fontId="6" fillId="0" borderId="0" xfId="0" quotePrefix="1" applyFont="1" applyFill="1" applyAlignment="1">
      <alignment horizontal="left" vertical="top" wrapText="1"/>
    </xf>
    <xf numFmtId="0" fontId="6" fillId="0" borderId="0" xfId="0" applyFont="1" applyFill="1" applyAlignment="1">
      <alignment horizontal="left" vertical="top" wrapText="1"/>
    </xf>
    <xf numFmtId="0" fontId="4" fillId="0" borderId="82" xfId="0" applyFont="1" applyFill="1" applyBorder="1" applyAlignment="1">
      <alignment horizontal="left" wrapText="1"/>
    </xf>
    <xf numFmtId="0" fontId="4" fillId="0" borderId="0" xfId="0" applyFont="1" applyFill="1" applyBorder="1" applyAlignment="1">
      <alignment horizontal="left" wrapText="1"/>
    </xf>
    <xf numFmtId="0" fontId="4" fillId="0" borderId="83" xfId="0" applyFont="1" applyFill="1" applyBorder="1" applyAlignment="1">
      <alignment horizontal="left" wrapText="1"/>
    </xf>
    <xf numFmtId="0" fontId="4" fillId="0" borderId="82" xfId="0" quotePrefix="1" applyFont="1" applyFill="1" applyBorder="1" applyAlignment="1">
      <alignment horizontal="left" wrapText="1"/>
    </xf>
    <xf numFmtId="0" fontId="4" fillId="0" borderId="0" xfId="0" applyFont="1" applyAlignment="1">
      <alignment horizontal="left" vertical="top" wrapText="1"/>
    </xf>
    <xf numFmtId="49" fontId="6" fillId="0" borderId="0" xfId="1" applyNumberFormat="1" applyFont="1" applyAlignment="1">
      <alignment horizontal="left" vertical="top" wrapText="1"/>
    </xf>
    <xf numFmtId="49" fontId="4" fillId="0" borderId="0" xfId="1" applyNumberFormat="1" applyFont="1" applyAlignment="1">
      <alignment horizontal="left" vertical="top" wrapText="1"/>
    </xf>
    <xf numFmtId="2" fontId="6" fillId="0" borderId="0" xfId="0" quotePrefix="1" applyNumberFormat="1" applyFont="1" applyFill="1" applyBorder="1" applyAlignment="1">
      <alignment horizontal="left" vertical="top" wrapText="1"/>
    </xf>
    <xf numFmtId="49" fontId="4" fillId="0" borderId="82" xfId="1" quotePrefix="1" applyNumberFormat="1" applyFont="1" applyFill="1" applyBorder="1" applyAlignment="1">
      <alignment horizontal="left" vertical="top" wrapText="1"/>
    </xf>
    <xf numFmtId="49" fontId="4" fillId="0" borderId="0" xfId="1" quotePrefix="1" applyNumberFormat="1" applyFont="1" applyFill="1" applyBorder="1" applyAlignment="1">
      <alignment horizontal="left" vertical="top" wrapText="1"/>
    </xf>
    <xf numFmtId="49" fontId="4" fillId="0" borderId="83" xfId="1" quotePrefix="1" applyNumberFormat="1" applyFont="1" applyFill="1" applyBorder="1" applyAlignment="1">
      <alignment horizontal="left" vertical="top" wrapText="1"/>
    </xf>
    <xf numFmtId="0" fontId="4" fillId="0" borderId="43" xfId="0" quotePrefix="1" applyFont="1" applyFill="1" applyBorder="1" applyAlignment="1">
      <alignment horizontal="left" wrapText="1"/>
    </xf>
    <xf numFmtId="0" fontId="4" fillId="0" borderId="50" xfId="0" applyFont="1" applyFill="1" applyBorder="1" applyAlignment="1">
      <alignment horizontal="left" wrapText="1"/>
    </xf>
    <xf numFmtId="0" fontId="4" fillId="0" borderId="40" xfId="0" applyFont="1" applyFill="1" applyBorder="1" applyAlignment="1">
      <alignment horizontal="left" wrapText="1"/>
    </xf>
    <xf numFmtId="0" fontId="4" fillId="0" borderId="0" xfId="0" applyFont="1" applyFill="1" applyAlignment="1">
      <alignment vertical="top" wrapText="1"/>
    </xf>
    <xf numFmtId="49" fontId="4" fillId="0" borderId="71" xfId="1" applyNumberFormat="1" applyFont="1" applyFill="1" applyBorder="1" applyAlignment="1">
      <alignment horizontal="left" vertical="top" wrapText="1"/>
    </xf>
    <xf numFmtId="49" fontId="4" fillId="0" borderId="67" xfId="1" applyNumberFormat="1" applyFont="1" applyFill="1" applyBorder="1" applyAlignment="1">
      <alignment horizontal="left" vertical="top" wrapText="1"/>
    </xf>
    <xf numFmtId="49" fontId="4" fillId="0" borderId="65" xfId="1" applyNumberFormat="1" applyFont="1" applyFill="1" applyBorder="1" applyAlignment="1">
      <alignment horizontal="left" vertical="top" wrapText="1"/>
    </xf>
    <xf numFmtId="0" fontId="146" fillId="0" borderId="0" xfId="2938" applyFont="1" applyFill="1" applyBorder="1" applyAlignment="1">
      <alignment horizontal="left" vertical="top" wrapText="1"/>
    </xf>
    <xf numFmtId="0" fontId="6" fillId="0" borderId="0" xfId="0" applyFont="1" applyFill="1" applyBorder="1" applyAlignment="1">
      <alignment horizontal="left" vertical="top" wrapText="1"/>
    </xf>
    <xf numFmtId="0" fontId="4" fillId="0" borderId="0" xfId="0" applyFont="1" applyFill="1" applyAlignment="1">
      <alignment horizontal="left" vertical="top" wrapText="1"/>
    </xf>
    <xf numFmtId="0" fontId="12" fillId="0" borderId="41" xfId="1" applyFont="1" applyFill="1" applyBorder="1" applyAlignment="1">
      <alignment horizontal="center" vertical="center" wrapText="1"/>
    </xf>
    <xf numFmtId="0" fontId="1" fillId="0" borderId="6" xfId="1" applyFont="1" applyFill="1" applyBorder="1" applyAlignment="1">
      <alignment horizontal="center" vertical="center" wrapText="1"/>
    </xf>
    <xf numFmtId="0" fontId="9" fillId="0" borderId="47" xfId="4224" applyFont="1" applyFill="1" applyBorder="1" applyAlignment="1">
      <alignment horizontal="center" vertical="center" wrapText="1"/>
    </xf>
    <xf numFmtId="0" fontId="9" fillId="0" borderId="46" xfId="4224" applyFont="1" applyFill="1" applyBorder="1" applyAlignment="1">
      <alignment horizontal="center" vertical="center" wrapText="1"/>
    </xf>
    <xf numFmtId="0" fontId="7" fillId="0" borderId="57" xfId="11660" applyFont="1" applyFill="1" applyBorder="1" applyAlignment="1">
      <alignment horizontal="center" vertical="center" wrapText="1"/>
    </xf>
    <xf numFmtId="0" fontId="7" fillId="0" borderId="54" xfId="11660" applyFont="1" applyFill="1" applyBorder="1" applyAlignment="1">
      <alignment horizontal="center" vertical="center" wrapText="1"/>
    </xf>
    <xf numFmtId="0" fontId="7" fillId="0" borderId="56"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165" fontId="7" fillId="0" borderId="2" xfId="18820" applyFont="1" applyFill="1" applyBorder="1" applyAlignment="1">
      <alignment horizontal="center" vertical="center" wrapText="1"/>
    </xf>
    <xf numFmtId="165" fontId="7" fillId="0" borderId="3" xfId="18820" applyFont="1" applyFill="1" applyBorder="1" applyAlignment="1">
      <alignment horizontal="center" vertical="center" wrapText="1"/>
    </xf>
    <xf numFmtId="165" fontId="7" fillId="0" borderId="4" xfId="18820" applyFont="1" applyFill="1" applyBorder="1" applyAlignment="1">
      <alignment horizontal="center" vertical="center" wrapText="1"/>
    </xf>
    <xf numFmtId="4" fontId="7" fillId="0" borderId="57" xfId="0" applyNumberFormat="1" applyFont="1" applyFill="1" applyBorder="1" applyAlignment="1">
      <alignment horizontal="center" vertical="center" wrapText="1"/>
    </xf>
    <xf numFmtId="0" fontId="8" fillId="0" borderId="54" xfId="0" applyFont="1" applyFill="1" applyBorder="1" applyAlignment="1">
      <alignment horizontal="center" vertical="center" wrapText="1"/>
    </xf>
    <xf numFmtId="0" fontId="69" fillId="0" borderId="0" xfId="0" applyFont="1" applyFill="1" applyBorder="1" applyAlignment="1" applyProtection="1">
      <alignment horizontal="center" vertical="center" wrapText="1"/>
    </xf>
    <xf numFmtId="0" fontId="122" fillId="0" borderId="0" xfId="0" applyFont="1" applyFill="1" applyBorder="1" applyAlignment="1" applyProtection="1">
      <alignment horizontal="center" vertical="center" wrapText="1"/>
    </xf>
    <xf numFmtId="0" fontId="134" fillId="0" borderId="0" xfId="0" applyFont="1" applyFill="1" applyBorder="1" applyAlignment="1" applyProtection="1">
      <alignment horizontal="center" vertical="center" wrapText="1"/>
    </xf>
    <xf numFmtId="0" fontId="8" fillId="0" borderId="0" xfId="10" applyFont="1" applyFill="1" applyBorder="1" applyAlignment="1">
      <alignment horizontal="right" wrapText="1"/>
    </xf>
    <xf numFmtId="0" fontId="8" fillId="0" borderId="0" xfId="10" applyFont="1" applyFill="1" applyBorder="1" applyAlignment="1">
      <alignment horizontal="right"/>
    </xf>
    <xf numFmtId="0" fontId="6" fillId="0" borderId="0" xfId="0" applyFont="1" applyAlignment="1">
      <alignment horizontal="left" vertical="top" wrapText="1"/>
    </xf>
    <xf numFmtId="0" fontId="7" fillId="0" borderId="1"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7" fillId="0" borderId="41"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42" xfId="0" applyFont="1" applyFill="1" applyBorder="1" applyAlignment="1">
      <alignment horizontal="center" vertical="center" wrapText="1"/>
    </xf>
    <xf numFmtId="0" fontId="8" fillId="0" borderId="43"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9" fillId="0" borderId="56" xfId="4224" applyFont="1" applyFill="1" applyBorder="1" applyAlignment="1">
      <alignment horizontal="center" vertical="center" wrapText="1"/>
    </xf>
  </cellXfs>
  <cellStyles count="19978">
    <cellStyle name="%" xfId="15"/>
    <cellStyle name="% 2" xfId="16"/>
    <cellStyle name="%_1 ВАР. КП 1 293  +8пропорцЛара" xfId="17"/>
    <cellStyle name="%_290  КП  Кудрово 7" xfId="18"/>
    <cellStyle name="%_Копия Копия Копия ДС кирпич 250мм 7-27-3- доп кладка (Борозд)" xfId="19"/>
    <cellStyle name="%_Прил.3 КП 1 291 283 120 +8 КомаровЛара" xfId="20"/>
    <cellStyle name="%_Приложение №2  Расчет стоимости  Кудрово 7 - копия 1" xfId="21"/>
    <cellStyle name="%_Приоритетные группы (для финансовых менеджеров)" xfId="22"/>
    <cellStyle name="_ ТЭЦ февраль 04г" xfId="23"/>
    <cellStyle name="_105_Р-05-3 факт май 2004" xfId="24"/>
    <cellStyle name="_106_Р-05-3 факт июнь 2004" xfId="25"/>
    <cellStyle name="_109_Р-05-3 факт сентябрь 20041" xfId="26"/>
    <cellStyle name="_109_Р-05-3 факт сентябрь 20042" xfId="27"/>
    <cellStyle name="_2003-08 Оперативный отчет (1 ч) (Носта)" xfId="28"/>
    <cellStyle name="_2003-08 Оперативный отчет (1и2 ч) (Носта)" xfId="29"/>
    <cellStyle name="_2003-08 Оперативный отчет (Медиа)" xfId="30"/>
    <cellStyle name="_2003-11 Оперативный отчет (Медиа)" xfId="31"/>
    <cellStyle name="_7.5.оборотный капитал" xfId="32"/>
    <cellStyle name="_7-3 17-03-05" xfId="33"/>
    <cellStyle name="_FFF" xfId="34"/>
    <cellStyle name="_FFF_New Form10_2" xfId="35"/>
    <cellStyle name="_FFF_Nsi" xfId="36"/>
    <cellStyle name="_FFF_Nsi_1" xfId="37"/>
    <cellStyle name="_FFF_Nsi_139" xfId="38"/>
    <cellStyle name="_FFF_Nsi_140" xfId="39"/>
    <cellStyle name="_FFF_Nsi_140(Зах)" xfId="40"/>
    <cellStyle name="_FFF_Nsi_140_mod" xfId="41"/>
    <cellStyle name="_FFF_Summary" xfId="42"/>
    <cellStyle name="_FFF_Tax_form_1кв_3" xfId="43"/>
    <cellStyle name="_FFF_БКЭ" xfId="44"/>
    <cellStyle name="_Final_Book_010301" xfId="45"/>
    <cellStyle name="_Final_Book_010301_New Form10_2" xfId="46"/>
    <cellStyle name="_Final_Book_010301_Nsi" xfId="47"/>
    <cellStyle name="_Final_Book_010301_Nsi_1" xfId="48"/>
    <cellStyle name="_Final_Book_010301_Nsi_139" xfId="49"/>
    <cellStyle name="_Final_Book_010301_Nsi_140" xfId="50"/>
    <cellStyle name="_Final_Book_010301_Nsi_140(Зах)" xfId="51"/>
    <cellStyle name="_Final_Book_010301_Nsi_140_mod" xfId="52"/>
    <cellStyle name="_Final_Book_010301_Summary" xfId="53"/>
    <cellStyle name="_Final_Book_010301_Tax_form_1кв_3" xfId="54"/>
    <cellStyle name="_Final_Book_010301_БКЭ" xfId="55"/>
    <cellStyle name="_New_Sofi" xfId="56"/>
    <cellStyle name="_New_Sofi_FFF" xfId="57"/>
    <cellStyle name="_New_Sofi_New Form10_2" xfId="58"/>
    <cellStyle name="_New_Sofi_Nsi" xfId="59"/>
    <cellStyle name="_New_Sofi_Nsi_1" xfId="60"/>
    <cellStyle name="_New_Sofi_Nsi_139" xfId="61"/>
    <cellStyle name="_New_Sofi_Nsi_140" xfId="62"/>
    <cellStyle name="_New_Sofi_Nsi_140(Зах)" xfId="63"/>
    <cellStyle name="_New_Sofi_Nsi_140_mod" xfId="64"/>
    <cellStyle name="_New_Sofi_Summary" xfId="65"/>
    <cellStyle name="_New_Sofi_Tax_form_1кв_3" xfId="66"/>
    <cellStyle name="_New_Sofi_БКЭ" xfId="67"/>
    <cellStyle name="_Nsi" xfId="68"/>
    <cellStyle name="_Алюком Тайшет" xfId="69"/>
    <cellStyle name="_Баланс апрель" xfId="70"/>
    <cellStyle name="_БДР (январь) факт" xfId="71"/>
    <cellStyle name="_БДР 2005 (МСФО) (2)" xfId="72"/>
    <cellStyle name="_БДР 2005 (МСФО) (3)" xfId="73"/>
    <cellStyle name="_БДР 2005 (МСФО) (4)" xfId="74"/>
    <cellStyle name="_БДР на 2005 от 11.11.04" xfId="75"/>
    <cellStyle name="_БДР от 10.11.04 (ожид.)" xfId="76"/>
    <cellStyle name="_БЗФ" xfId="77"/>
    <cellStyle name="_БП 2004 ППП_190204_1650" xfId="78"/>
    <cellStyle name="_БП ППП 2004 год форма 2." xfId="79"/>
    <cellStyle name="_Бюджет на 2005 год в МСФО (б_к)" xfId="80"/>
    <cellStyle name="_ГЛИНОЗЕМСЕРВИС ППП 2004 для Москвы" xfId="81"/>
    <cellStyle name="_ДДС" xfId="82"/>
    <cellStyle name="_ДДС (М) от 05.02.04 (с изм. от Энергосбыта в 4 кв.)" xfId="83"/>
    <cellStyle name="_ДДС на 2005 год от 09.12.04" xfId="84"/>
    <cellStyle name="_ДДС на 2005 год от 21.12.04" xfId="85"/>
    <cellStyle name="_ДДС на 2005 от 04.11.04" xfId="86"/>
    <cellStyle name="_ДДС от 16.12.03 (новое топливо)" xfId="87"/>
    <cellStyle name="_ДДС от 21.01.04 (на СД)" xfId="88"/>
    <cellStyle name="_Дисконтирование векселей" xfId="89"/>
    <cellStyle name="_Дозакл 5 мес.2000" xfId="90"/>
    <cellStyle name="_Изменение баланса за октябрь 2003 (текущий план)" xfId="91"/>
    <cellStyle name="_ИрЭ_файл1_декабрь 2003" xfId="92"/>
    <cellStyle name="_ИТЦ" xfId="93"/>
    <cellStyle name="_ИТЦ ППП план декабрь 2003 версия 221103" xfId="94"/>
    <cellStyle name="_ИТЦ ППП план сентябрь 2003 версия 250803" xfId="95"/>
    <cellStyle name="_июль факт" xfId="96"/>
    <cellStyle name="_Книга2" xfId="97"/>
    <cellStyle name="_Книга3" xfId="98"/>
    <cellStyle name="_Книга3_1" xfId="99"/>
    <cellStyle name="_Книга3_New Form10_2" xfId="100"/>
    <cellStyle name="_Книга3_Nsi" xfId="101"/>
    <cellStyle name="_Книга3_Nsi_1" xfId="102"/>
    <cellStyle name="_Книга3_Nsi_139" xfId="103"/>
    <cellStyle name="_Книга3_Nsi_140" xfId="104"/>
    <cellStyle name="_Книга3_Nsi_140(Зах)" xfId="105"/>
    <cellStyle name="_Книга3_Nsi_140_mod" xfId="106"/>
    <cellStyle name="_Книга3_Summary" xfId="107"/>
    <cellStyle name="_Книга3_Tax_form_1кв_3" xfId="108"/>
    <cellStyle name="_Книга3_БКЭ" xfId="109"/>
    <cellStyle name="_Книга4" xfId="110"/>
    <cellStyle name="_Книга7" xfId="111"/>
    <cellStyle name="_Книга7_New Form10_2" xfId="112"/>
    <cellStyle name="_Книга7_Nsi" xfId="113"/>
    <cellStyle name="_Книга7_Nsi_1" xfId="114"/>
    <cellStyle name="_Книга7_Nsi_139" xfId="115"/>
    <cellStyle name="_Книга7_Nsi_140" xfId="116"/>
    <cellStyle name="_Книга7_Nsi_140(Зах)" xfId="117"/>
    <cellStyle name="_Книга7_Nsi_140_mod" xfId="118"/>
    <cellStyle name="_Книга7_Summary" xfId="119"/>
    <cellStyle name="_Книга7_Tax_form_1кв_3" xfId="120"/>
    <cellStyle name="_Книга7_БКЭ" xfId="121"/>
    <cellStyle name="_Лист в ТЭЦ март 04г" xfId="122"/>
    <cellStyle name="_Недостающие формы" xfId="123"/>
    <cellStyle name="_Новые формы отчетов ЕСЭ" xfId="124"/>
    <cellStyle name="_ОК апрель" xfId="125"/>
    <cellStyle name="_ОК и баланс вар 2" xfId="126"/>
    <cellStyle name="_ООО Теплоресурс план december 2003 версия 261103" xfId="127"/>
    <cellStyle name="_Отчет о прибылях и убытках июнь" xfId="128"/>
    <cellStyle name="_Параметры бизнес-плана на 2005 г" xfId="129"/>
    <cellStyle name="_Показатели в МСФО" xfId="130"/>
    <cellStyle name="_Приложение 2 к РЕГЛАМЕНТУ" xfId="131"/>
    <cellStyle name="_Пробный cash для баланса" xfId="132"/>
    <cellStyle name="_Прогнозный баланс" xfId="133"/>
    <cellStyle name="_Прогнозный баланс 01.04" xfId="134"/>
    <cellStyle name="_Прогнозный баланс 17.12" xfId="135"/>
    <cellStyle name="_Прогнозный баланс на 2004" xfId="136"/>
    <cellStyle name="_Р-05-2" xfId="137"/>
    <cellStyle name="_Р-05-3 факт июль 2004(20.08.04)" xfId="138"/>
    <cellStyle name="_Расшифровки_1кв_2002" xfId="139"/>
    <cellStyle name="_Ресал" xfId="140"/>
    <cellStyle name="_САЗ ИБ 2003 урезанный (29.11.02) Мусаелян" xfId="141"/>
    <cellStyle name="_САЗ ИБ 2003 урезанный1" xfId="142"/>
    <cellStyle name="_Сведения о расходах на 2004г" xfId="143"/>
    <cellStyle name="_СМЗ 91сч 05-2003ф" xfId="144"/>
    <cellStyle name="_СМЗ прил.17 06-2003ф" xfId="145"/>
    <cellStyle name="_СМЗ прил.91сч 1кв-2003 ф от плана" xfId="146"/>
    <cellStyle name="_СМЗ сч 91vypl_июнь 2003ф" xfId="147"/>
    <cellStyle name="_Соцпрограмма и исп. приб.1кв.2003г" xfId="148"/>
    <cellStyle name="_список задач по АППЗ и АПТ 1" xfId="149"/>
    <cellStyle name="_схождение PL&amp;cash" xfId="150"/>
    <cellStyle name="_Финплан_короткий" xfId="151"/>
    <cellStyle name="_ФОРМА - Бизнес-План Холдинг" xfId="152"/>
    <cellStyle name="_Формы Р-15 2004 07 Факт" xfId="153"/>
    <cellStyle name="_Формы финансовые (бизнес-план)2005 (первонач.)" xfId="154"/>
    <cellStyle name="”€ЌЂЌ‘Ћ‚›‰" xfId="155"/>
    <cellStyle name="”€Љ‘€ђЋ‚ЂЌЌ›‰" xfId="156"/>
    <cellStyle name="„…Ќ…†Ќ›‰" xfId="157"/>
    <cellStyle name="„Ђ’Ђ" xfId="158"/>
    <cellStyle name="€’ЋѓЋ‚›‰" xfId="159"/>
    <cellStyle name="‡ЂѓЋ‹Ћ‚ЋЉ1" xfId="160"/>
    <cellStyle name="‡ЂѓЋ‹Ћ‚ЋЉ2" xfId="161"/>
    <cellStyle name="" xfId="162"/>
    <cellStyle name="" xfId="163"/>
    <cellStyle name="" xfId="164"/>
    <cellStyle name="" xfId="165"/>
    <cellStyle name="" xfId="166"/>
    <cellStyle name="" xfId="167"/>
    <cellStyle name="1" xfId="168"/>
    <cellStyle name="2" xfId="169"/>
    <cellStyle name="0,00;0;" xfId="170"/>
    <cellStyle name="1Normal" xfId="171"/>
    <cellStyle name="1Normal 2" xfId="172"/>
    <cellStyle name="20% - Accent1" xfId="173"/>
    <cellStyle name="20% - Accent2" xfId="174"/>
    <cellStyle name="20% - Accent3" xfId="175"/>
    <cellStyle name="20% - Accent4" xfId="176"/>
    <cellStyle name="20% - Accent5" xfId="177"/>
    <cellStyle name="20% - Accent6" xfId="178"/>
    <cellStyle name="20% - Акцент1 2" xfId="179"/>
    <cellStyle name="20% - Акцент1 2 2" xfId="180"/>
    <cellStyle name="20% - Акцент1 2 3" xfId="181"/>
    <cellStyle name="20% - Акцент1 3" xfId="182"/>
    <cellStyle name="20% - Акцент1 3 2" xfId="183"/>
    <cellStyle name="20% - Акцент2 2" xfId="184"/>
    <cellStyle name="20% - Акцент2 2 2" xfId="185"/>
    <cellStyle name="20% - Акцент2 2 3" xfId="186"/>
    <cellStyle name="20% - Акцент2 3" xfId="187"/>
    <cellStyle name="20% - Акцент2 3 2" xfId="188"/>
    <cellStyle name="20% - Акцент3 2" xfId="189"/>
    <cellStyle name="20% - Акцент3 2 2" xfId="190"/>
    <cellStyle name="20% - Акцент3 2 3" xfId="191"/>
    <cellStyle name="20% - Акцент3 3" xfId="192"/>
    <cellStyle name="20% - Акцент3 3 2" xfId="193"/>
    <cellStyle name="20% - Акцент4 2" xfId="194"/>
    <cellStyle name="20% - Акцент4 2 2" xfId="195"/>
    <cellStyle name="20% - Акцент4 2 3" xfId="196"/>
    <cellStyle name="20% - Акцент4 3" xfId="197"/>
    <cellStyle name="20% - Акцент4 3 2" xfId="198"/>
    <cellStyle name="20% - Акцент5 2" xfId="199"/>
    <cellStyle name="20% - Акцент5 2 2" xfId="200"/>
    <cellStyle name="20% - Акцент5 2 3" xfId="201"/>
    <cellStyle name="20% - Акцент5 3" xfId="202"/>
    <cellStyle name="20% - Акцент5 3 2" xfId="203"/>
    <cellStyle name="20% - Акцент6 2" xfId="204"/>
    <cellStyle name="20% - Акцент6 2 2" xfId="205"/>
    <cellStyle name="20% - Акцент6 2 3" xfId="206"/>
    <cellStyle name="20% - Акцент6 3" xfId="207"/>
    <cellStyle name="20% - Акцент6 3 2" xfId="208"/>
    <cellStyle name="40% - Accent1" xfId="209"/>
    <cellStyle name="40% - Accent2" xfId="210"/>
    <cellStyle name="40% - Accent3" xfId="211"/>
    <cellStyle name="40% - Accent4" xfId="212"/>
    <cellStyle name="40% - Accent5" xfId="213"/>
    <cellStyle name="40% - Accent6" xfId="214"/>
    <cellStyle name="40% - Акцент1 2" xfId="215"/>
    <cellStyle name="40% - Акцент1 2 2" xfId="216"/>
    <cellStyle name="40% - Акцент1 2 3" xfId="217"/>
    <cellStyle name="40% - Акцент1 3" xfId="218"/>
    <cellStyle name="40% - Акцент1 3 2" xfId="219"/>
    <cellStyle name="40% - Акцент2 2" xfId="220"/>
    <cellStyle name="40% - Акцент2 2 2" xfId="221"/>
    <cellStyle name="40% - Акцент2 2 3" xfId="222"/>
    <cellStyle name="40% - Акцент2 3" xfId="223"/>
    <cellStyle name="40% - Акцент2 3 2" xfId="224"/>
    <cellStyle name="40% - Акцент3 2" xfId="225"/>
    <cellStyle name="40% - Акцент3 2 2" xfId="226"/>
    <cellStyle name="40% - Акцент3 2 3" xfId="227"/>
    <cellStyle name="40% - Акцент3 3" xfId="228"/>
    <cellStyle name="40% - Акцент3 3 2" xfId="229"/>
    <cellStyle name="40% - Акцент4 2" xfId="230"/>
    <cellStyle name="40% - Акцент4 2 2" xfId="231"/>
    <cellStyle name="40% - Акцент4 2 3" xfId="232"/>
    <cellStyle name="40% - Акцент4 3" xfId="233"/>
    <cellStyle name="40% - Акцент4 3 2" xfId="234"/>
    <cellStyle name="40% - Акцент5 2" xfId="235"/>
    <cellStyle name="40% - Акцент5 2 2" xfId="236"/>
    <cellStyle name="40% - Акцент5 2 3" xfId="237"/>
    <cellStyle name="40% - Акцент5 3" xfId="238"/>
    <cellStyle name="40% - Акцент5 3 2" xfId="239"/>
    <cellStyle name="40% - Акцент6 2" xfId="240"/>
    <cellStyle name="40% - Акцент6 2 2" xfId="241"/>
    <cellStyle name="40% - Акцент6 2 3" xfId="242"/>
    <cellStyle name="40% - Акцент6 3" xfId="243"/>
    <cellStyle name="40% - Акцент6 3 2" xfId="244"/>
    <cellStyle name="60% - Accent1" xfId="245"/>
    <cellStyle name="60% - Accent2" xfId="246"/>
    <cellStyle name="60% - Accent3" xfId="247"/>
    <cellStyle name="60% - Accent4" xfId="248"/>
    <cellStyle name="60% - Accent5" xfId="249"/>
    <cellStyle name="60% - Accent6" xfId="250"/>
    <cellStyle name="60% - Акцент1 2" xfId="251"/>
    <cellStyle name="60% - Акцент1 2 2" xfId="252"/>
    <cellStyle name="60% - Акцент1 3" xfId="253"/>
    <cellStyle name="60% - Акцент1 3 2" xfId="254"/>
    <cellStyle name="60% - Акцент2 2" xfId="255"/>
    <cellStyle name="60% - Акцент2 2 2" xfId="256"/>
    <cellStyle name="60% - Акцент2 3" xfId="257"/>
    <cellStyle name="60% - Акцент2 3 2" xfId="258"/>
    <cellStyle name="60% - Акцент3 2" xfId="259"/>
    <cellStyle name="60% - Акцент3 2 2" xfId="260"/>
    <cellStyle name="60% - Акцент3 3" xfId="261"/>
    <cellStyle name="60% - Акцент3 3 2" xfId="262"/>
    <cellStyle name="60% - Акцент4 2" xfId="263"/>
    <cellStyle name="60% - Акцент4 2 2" xfId="264"/>
    <cellStyle name="60% - Акцент4 3" xfId="265"/>
    <cellStyle name="60% - Акцент4 3 2" xfId="266"/>
    <cellStyle name="60% - Акцент5 2" xfId="267"/>
    <cellStyle name="60% - Акцент5 2 2" xfId="268"/>
    <cellStyle name="60% - Акцент5 3" xfId="269"/>
    <cellStyle name="60% - Акцент5 3 2" xfId="270"/>
    <cellStyle name="60% - Акцент6 2" xfId="271"/>
    <cellStyle name="60% - Акцент6 2 2" xfId="272"/>
    <cellStyle name="60% - Акцент6 3" xfId="273"/>
    <cellStyle name="60% - Акцент6 3 2" xfId="274"/>
    <cellStyle name="Aaia?iue [0]_?anoiau" xfId="275"/>
    <cellStyle name="Aaia?iue_?anoiau" xfId="276"/>
    <cellStyle name="Accent1" xfId="277"/>
    <cellStyle name="Accent2" xfId="278"/>
    <cellStyle name="Accent3" xfId="279"/>
    <cellStyle name="Accent4" xfId="280"/>
    <cellStyle name="Accent5" xfId="281"/>
    <cellStyle name="Accent6" xfId="282"/>
    <cellStyle name="Aeia?nnueea" xfId="283"/>
    <cellStyle name="Bad" xfId="284"/>
    <cellStyle name="Big" xfId="285"/>
    <cellStyle name="Big 2" xfId="286"/>
    <cellStyle name="Calc Currency (0)" xfId="287"/>
    <cellStyle name="Calc Currency (2)" xfId="288"/>
    <cellStyle name="Calc Percent (0)" xfId="289"/>
    <cellStyle name="Calc Percent (1)" xfId="290"/>
    <cellStyle name="Calc Percent (2)" xfId="291"/>
    <cellStyle name="Calc Units (0)" xfId="292"/>
    <cellStyle name="Calc Units (1)" xfId="293"/>
    <cellStyle name="Calc Units (2)" xfId="294"/>
    <cellStyle name="Calculation" xfId="295"/>
    <cellStyle name="Calculation 10" xfId="19974"/>
    <cellStyle name="Calculation 2" xfId="296"/>
    <cellStyle name="Calculation 2 2" xfId="297"/>
    <cellStyle name="Calculation 2 2 2" xfId="298"/>
    <cellStyle name="Calculation 2 2 2 2" xfId="19971"/>
    <cellStyle name="Calculation 2 2 3" xfId="299"/>
    <cellStyle name="Calculation 2 2 3 2" xfId="19970"/>
    <cellStyle name="Calculation 2 2 4" xfId="300"/>
    <cellStyle name="Calculation 2 2 4 2" xfId="19969"/>
    <cellStyle name="Calculation 2 2 5" xfId="301"/>
    <cellStyle name="Calculation 2 2 5 2" xfId="19968"/>
    <cellStyle name="Calculation 2 2 6" xfId="302"/>
    <cellStyle name="Calculation 2 2 6 2" xfId="19967"/>
    <cellStyle name="Calculation 2 2 7" xfId="19972"/>
    <cellStyle name="Calculation 2 3" xfId="303"/>
    <cellStyle name="Calculation 2 3 2" xfId="304"/>
    <cellStyle name="Calculation 2 3 2 2" xfId="19965"/>
    <cellStyle name="Calculation 2 3 3" xfId="19966"/>
    <cellStyle name="Calculation 2 4" xfId="305"/>
    <cellStyle name="Calculation 2 4 2" xfId="306"/>
    <cellStyle name="Calculation 2 4 2 2" xfId="19963"/>
    <cellStyle name="Calculation 2 4 3" xfId="19964"/>
    <cellStyle name="Calculation 2 5" xfId="307"/>
    <cellStyle name="Calculation 2 5 2" xfId="19962"/>
    <cellStyle name="Calculation 2 6" xfId="308"/>
    <cellStyle name="Calculation 2 6 2" xfId="19961"/>
    <cellStyle name="Calculation 2 7" xfId="309"/>
    <cellStyle name="Calculation 2 7 2" xfId="19960"/>
    <cellStyle name="Calculation 2 8" xfId="310"/>
    <cellStyle name="Calculation 2 8 2" xfId="19959"/>
    <cellStyle name="Calculation 2 9" xfId="19973"/>
    <cellStyle name="Calculation 3" xfId="311"/>
    <cellStyle name="Calculation 3 2" xfId="312"/>
    <cellStyle name="Calculation 3 2 2" xfId="19957"/>
    <cellStyle name="Calculation 3 3" xfId="313"/>
    <cellStyle name="Calculation 3 3 2" xfId="19956"/>
    <cellStyle name="Calculation 3 4" xfId="314"/>
    <cellStyle name="Calculation 3 4 2" xfId="19955"/>
    <cellStyle name="Calculation 3 5" xfId="315"/>
    <cellStyle name="Calculation 3 5 2" xfId="19954"/>
    <cellStyle name="Calculation 3 6" xfId="316"/>
    <cellStyle name="Calculation 3 6 2" xfId="19953"/>
    <cellStyle name="Calculation 3 7" xfId="19958"/>
    <cellStyle name="Calculation 4" xfId="317"/>
    <cellStyle name="Calculation 4 2" xfId="318"/>
    <cellStyle name="Calculation 4 2 2" xfId="19951"/>
    <cellStyle name="Calculation 4 3" xfId="19952"/>
    <cellStyle name="Calculation 5" xfId="319"/>
    <cellStyle name="Calculation 5 2" xfId="320"/>
    <cellStyle name="Calculation 5 2 2" xfId="19949"/>
    <cellStyle name="Calculation 5 3" xfId="19950"/>
    <cellStyle name="Calculation 6" xfId="321"/>
    <cellStyle name="Calculation 6 2" xfId="19948"/>
    <cellStyle name="Calculation 7" xfId="322"/>
    <cellStyle name="Calculation 7 2" xfId="19947"/>
    <cellStyle name="Calculation 8" xfId="323"/>
    <cellStyle name="Calculation 8 2" xfId="19946"/>
    <cellStyle name="Calculation 9" xfId="324"/>
    <cellStyle name="Calculation 9 2" xfId="19945"/>
    <cellStyle name="Check" xfId="325"/>
    <cellStyle name="Check 2" xfId="326"/>
    <cellStyle name="Check 2 2" xfId="327"/>
    <cellStyle name="Check 2 2 2" xfId="328"/>
    <cellStyle name="Check 2 2 2 2" xfId="329"/>
    <cellStyle name="Check 2 2 3" xfId="330"/>
    <cellStyle name="Check 2 2 3 2" xfId="331"/>
    <cellStyle name="Check 2 2 4" xfId="332"/>
    <cellStyle name="Check 2 2 5" xfId="333"/>
    <cellStyle name="Check 2 2 6" xfId="334"/>
    <cellStyle name="Check 2 2 7" xfId="335"/>
    <cellStyle name="Check 2 3" xfId="336"/>
    <cellStyle name="Check 2 3 2" xfId="337"/>
    <cellStyle name="Check 2 4" xfId="338"/>
    <cellStyle name="Check 3" xfId="339"/>
    <cellStyle name="Check 3 2" xfId="340"/>
    <cellStyle name="Check 3 2 2" xfId="341"/>
    <cellStyle name="Check 3 3" xfId="342"/>
    <cellStyle name="Check 3 3 2" xfId="343"/>
    <cellStyle name="Check 3 4" xfId="344"/>
    <cellStyle name="Check 3 5" xfId="345"/>
    <cellStyle name="Check 3 6" xfId="346"/>
    <cellStyle name="Check 3 7" xfId="347"/>
    <cellStyle name="Check 4" xfId="348"/>
    <cellStyle name="Check 4 2" xfId="349"/>
    <cellStyle name="Check 5" xfId="350"/>
    <cellStyle name="Check Cell" xfId="351"/>
    <cellStyle name="Comma [0]" xfId="352"/>
    <cellStyle name="Comma [00]" xfId="353"/>
    <cellStyle name="Comma 10" xfId="354"/>
    <cellStyle name="Comma 11" xfId="355"/>
    <cellStyle name="Comma 11 2" xfId="19512"/>
    <cellStyle name="Comma 12" xfId="356"/>
    <cellStyle name="Comma 12 2" xfId="357"/>
    <cellStyle name="Comma 2" xfId="358"/>
    <cellStyle name="Comma 2 10" xfId="359"/>
    <cellStyle name="Comma 2 10 2" xfId="360"/>
    <cellStyle name="Comma 2 10 2 2" xfId="361"/>
    <cellStyle name="Comma 2 10 2 3" xfId="362"/>
    <cellStyle name="Comma 2 10 3" xfId="363"/>
    <cellStyle name="Comma 2 10 4" xfId="364"/>
    <cellStyle name="Comma 2 10 5" xfId="365"/>
    <cellStyle name="Comma 2 11" xfId="366"/>
    <cellStyle name="Comma 2 11 2" xfId="367"/>
    <cellStyle name="Comma 2 11 3" xfId="368"/>
    <cellStyle name="Comma 2 12" xfId="369"/>
    <cellStyle name="Comma 2 13" xfId="370"/>
    <cellStyle name="Comma 2 14" xfId="371"/>
    <cellStyle name="Comma 2 2" xfId="372"/>
    <cellStyle name="Comma 2 2 2" xfId="373"/>
    <cellStyle name="Comma 2 2 2 2" xfId="374"/>
    <cellStyle name="Comma 2 2 2 2 2" xfId="375"/>
    <cellStyle name="Comma 2 2 2 2 2 2" xfId="376"/>
    <cellStyle name="Comma 2 2 2 2 2 3" xfId="377"/>
    <cellStyle name="Comma 2 2 2 2 3" xfId="378"/>
    <cellStyle name="Comma 2 2 2 2 4" xfId="379"/>
    <cellStyle name="Comma 2 2 2 2 5" xfId="380"/>
    <cellStyle name="Comma 2 2 2 3" xfId="381"/>
    <cellStyle name="Comma 2 2 2 3 2" xfId="382"/>
    <cellStyle name="Comma 2 2 2 3 3" xfId="383"/>
    <cellStyle name="Comma 2 2 2 4" xfId="384"/>
    <cellStyle name="Comma 2 2 2 5" xfId="385"/>
    <cellStyle name="Comma 2 2 2 6" xfId="386"/>
    <cellStyle name="Comma 2 2 3" xfId="387"/>
    <cellStyle name="Comma 2 2 3 2" xfId="388"/>
    <cellStyle name="Comma 2 2 3 2 2" xfId="389"/>
    <cellStyle name="Comma 2 2 3 2 3" xfId="390"/>
    <cellStyle name="Comma 2 2 3 3" xfId="391"/>
    <cellStyle name="Comma 2 2 3 4" xfId="392"/>
    <cellStyle name="Comma 2 2 3 5" xfId="393"/>
    <cellStyle name="Comma 2 2 4" xfId="394"/>
    <cellStyle name="Comma 2 2 4 2" xfId="395"/>
    <cellStyle name="Comma 2 2 4 3" xfId="396"/>
    <cellStyle name="Comma 2 2 5" xfId="397"/>
    <cellStyle name="Comma 2 2 6" xfId="398"/>
    <cellStyle name="Comma 2 2 7" xfId="399"/>
    <cellStyle name="Comma 2 3" xfId="400"/>
    <cellStyle name="Comma 2 3 2" xfId="401"/>
    <cellStyle name="Comma 2 3 2 2" xfId="402"/>
    <cellStyle name="Comma 2 3 2 2 2" xfId="403"/>
    <cellStyle name="Comma 2 3 2 2 3" xfId="404"/>
    <cellStyle name="Comma 2 3 2 3" xfId="405"/>
    <cellStyle name="Comma 2 3 2 4" xfId="406"/>
    <cellStyle name="Comma 2 3 2 5" xfId="407"/>
    <cellStyle name="Comma 2 3 3" xfId="408"/>
    <cellStyle name="Comma 2 3 3 2" xfId="409"/>
    <cellStyle name="Comma 2 3 3 2 2" xfId="410"/>
    <cellStyle name="Comma 2 3 3 2 3" xfId="411"/>
    <cellStyle name="Comma 2 3 3 3" xfId="412"/>
    <cellStyle name="Comma 2 3 3 4" xfId="413"/>
    <cellStyle name="Comma 2 3 3 5" xfId="414"/>
    <cellStyle name="Comma 2 3 4" xfId="415"/>
    <cellStyle name="Comma 2 3 4 2" xfId="416"/>
    <cellStyle name="Comma 2 3 4 2 2" xfId="417"/>
    <cellStyle name="Comma 2 3 4 2 2 2" xfId="418"/>
    <cellStyle name="Comma 2 3 4 2 2 3" xfId="419"/>
    <cellStyle name="Comma 2 3 4 2 3" xfId="420"/>
    <cellStyle name="Comma 2 3 4 2 4" xfId="421"/>
    <cellStyle name="Comma 2 3 4 3" xfId="422"/>
    <cellStyle name="Comma 2 3 4 3 2" xfId="423"/>
    <cellStyle name="Comma 2 3 4 3 3" xfId="424"/>
    <cellStyle name="Comma 2 3 4 4" xfId="425"/>
    <cellStyle name="Comma 2 3 4 5" xfId="426"/>
    <cellStyle name="Comma 2 3 5" xfId="427"/>
    <cellStyle name="Comma 2 3 5 2" xfId="428"/>
    <cellStyle name="Comma 2 3 5 3" xfId="429"/>
    <cellStyle name="Comma 2 3 6" xfId="430"/>
    <cellStyle name="Comma 2 3 7" xfId="431"/>
    <cellStyle name="Comma 2 4" xfId="432"/>
    <cellStyle name="Comma 2 4 2" xfId="433"/>
    <cellStyle name="Comma 2 4 2 2" xfId="434"/>
    <cellStyle name="Comma 2 4 2 2 2" xfId="435"/>
    <cellStyle name="Comma 2 4 2 2 3" xfId="436"/>
    <cellStyle name="Comma 2 4 2 3" xfId="437"/>
    <cellStyle name="Comma 2 4 2 4" xfId="438"/>
    <cellStyle name="Comma 2 4 2 5" xfId="439"/>
    <cellStyle name="Comma 2 4 3" xfId="440"/>
    <cellStyle name="Comma 2 4 3 2" xfId="441"/>
    <cellStyle name="Comma 2 4 3 3" xfId="442"/>
    <cellStyle name="Comma 2 4 4" xfId="443"/>
    <cellStyle name="Comma 2 4 5" xfId="444"/>
    <cellStyle name="Comma 2 4 6" xfId="445"/>
    <cellStyle name="Comma 2 5" xfId="446"/>
    <cellStyle name="Comma 2 5 2" xfId="447"/>
    <cellStyle name="Comma 2 5 2 2" xfId="448"/>
    <cellStyle name="Comma 2 5 2 2 2" xfId="449"/>
    <cellStyle name="Comma 2 5 2 2 3" xfId="450"/>
    <cellStyle name="Comma 2 5 2 3" xfId="451"/>
    <cellStyle name="Comma 2 5 2 4" xfId="452"/>
    <cellStyle name="Comma 2 5 2 5" xfId="453"/>
    <cellStyle name="Comma 2 5 3" xfId="454"/>
    <cellStyle name="Comma 2 5 3 2" xfId="455"/>
    <cellStyle name="Comma 2 5 3 3" xfId="456"/>
    <cellStyle name="Comma 2 5 4" xfId="457"/>
    <cellStyle name="Comma 2 5 5" xfId="458"/>
    <cellStyle name="Comma 2 5 6" xfId="459"/>
    <cellStyle name="Comma 2 6" xfId="460"/>
    <cellStyle name="Comma 2 6 2" xfId="461"/>
    <cellStyle name="Comma 2 6 2 2" xfId="462"/>
    <cellStyle name="Comma 2 6 2 2 2" xfId="463"/>
    <cellStyle name="Comma 2 6 2 2 3" xfId="464"/>
    <cellStyle name="Comma 2 6 2 3" xfId="465"/>
    <cellStyle name="Comma 2 6 2 4" xfId="466"/>
    <cellStyle name="Comma 2 6 2 5" xfId="467"/>
    <cellStyle name="Comma 2 6 3" xfId="468"/>
    <cellStyle name="Comma 2 6 3 2" xfId="469"/>
    <cellStyle name="Comma 2 6 3 3" xfId="470"/>
    <cellStyle name="Comma 2 6 4" xfId="471"/>
    <cellStyle name="Comma 2 6 5" xfId="472"/>
    <cellStyle name="Comma 2 6 6" xfId="473"/>
    <cellStyle name="Comma 2 7" xfId="474"/>
    <cellStyle name="Comma 2 7 2" xfId="475"/>
    <cellStyle name="Comma 2 7 2 2" xfId="476"/>
    <cellStyle name="Comma 2 7 2 2 2" xfId="477"/>
    <cellStyle name="Comma 2 7 2 2 3" xfId="478"/>
    <cellStyle name="Comma 2 7 2 3" xfId="479"/>
    <cellStyle name="Comma 2 7 2 4" xfId="480"/>
    <cellStyle name="Comma 2 7 2 5" xfId="481"/>
    <cellStyle name="Comma 2 7 3" xfId="482"/>
    <cellStyle name="Comma 2 7 3 2" xfId="483"/>
    <cellStyle name="Comma 2 7 3 3" xfId="484"/>
    <cellStyle name="Comma 2 7 4" xfId="485"/>
    <cellStyle name="Comma 2 7 5" xfId="486"/>
    <cellStyle name="Comma 2 7 6" xfId="487"/>
    <cellStyle name="Comma 2 8" xfId="488"/>
    <cellStyle name="Comma 2 8 2" xfId="489"/>
    <cellStyle name="Comma 2 8 2 2" xfId="490"/>
    <cellStyle name="Comma 2 8 2 2 2" xfId="491"/>
    <cellStyle name="Comma 2 8 2 2 2 2" xfId="492"/>
    <cellStyle name="Comma 2 8 2 2 2 3" xfId="493"/>
    <cellStyle name="Comma 2 8 2 2 3" xfId="494"/>
    <cellStyle name="Comma 2 8 2 2 4" xfId="495"/>
    <cellStyle name="Comma 2 8 2 2 5" xfId="496"/>
    <cellStyle name="Comma 2 8 2 3" xfId="497"/>
    <cellStyle name="Comma 2 8 2 3 2" xfId="498"/>
    <cellStyle name="Comma 2 8 2 3 3" xfId="499"/>
    <cellStyle name="Comma 2 8 2 4" xfId="500"/>
    <cellStyle name="Comma 2 8 2 5" xfId="501"/>
    <cellStyle name="Comma 2 8 2 6" xfId="502"/>
    <cellStyle name="Comma 2 8 3" xfId="503"/>
    <cellStyle name="Comma 2 8 3 2" xfId="504"/>
    <cellStyle name="Comma 2 8 3 2 2" xfId="505"/>
    <cellStyle name="Comma 2 8 3 2 3" xfId="506"/>
    <cellStyle name="Comma 2 8 3 3" xfId="507"/>
    <cellStyle name="Comma 2 8 3 4" xfId="508"/>
    <cellStyle name="Comma 2 8 3 5" xfId="509"/>
    <cellStyle name="Comma 2 8 4" xfId="510"/>
    <cellStyle name="Comma 2 8 4 2" xfId="511"/>
    <cellStyle name="Comma 2 8 4 3" xfId="512"/>
    <cellStyle name="Comma 2 8 5" xfId="513"/>
    <cellStyle name="Comma 2 8 6" xfId="514"/>
    <cellStyle name="Comma 2 8 7" xfId="515"/>
    <cellStyle name="Comma 2 9" xfId="516"/>
    <cellStyle name="Comma 2 9 2" xfId="517"/>
    <cellStyle name="Comma 2 9 2 2" xfId="518"/>
    <cellStyle name="Comma 2 9 2 2 2" xfId="519"/>
    <cellStyle name="Comma 2 9 2 2 3" xfId="520"/>
    <cellStyle name="Comma 2 9 2 3" xfId="521"/>
    <cellStyle name="Comma 2 9 2 4" xfId="522"/>
    <cellStyle name="Comma 2 9 2 5" xfId="523"/>
    <cellStyle name="Comma 2 9 3" xfId="524"/>
    <cellStyle name="Comma 2 9 3 2" xfId="525"/>
    <cellStyle name="Comma 2 9 3 3" xfId="526"/>
    <cellStyle name="Comma 2 9 3 4" xfId="527"/>
    <cellStyle name="Comma 2 9 4" xfId="528"/>
    <cellStyle name="Comma 2 9 5" xfId="529"/>
    <cellStyle name="Comma 2 9 6" xfId="530"/>
    <cellStyle name="Comma 3" xfId="531"/>
    <cellStyle name="Comma 3 10" xfId="532"/>
    <cellStyle name="Comma 3 11" xfId="533"/>
    <cellStyle name="Comma 3 2" xfId="534"/>
    <cellStyle name="Comma 3 2 2" xfId="535"/>
    <cellStyle name="Comma 3 2 2 2" xfId="536"/>
    <cellStyle name="Comma 3 2 2 2 2" xfId="537"/>
    <cellStyle name="Comma 3 2 2 2 3" xfId="538"/>
    <cellStyle name="Comma 3 2 2 3" xfId="539"/>
    <cellStyle name="Comma 3 2 2 4" xfId="540"/>
    <cellStyle name="Comma 3 2 2 5" xfId="541"/>
    <cellStyle name="Comma 3 2 3" xfId="542"/>
    <cellStyle name="Comma 3 2 3 2" xfId="543"/>
    <cellStyle name="Comma 3 2 3 3" xfId="544"/>
    <cellStyle name="Comma 3 2 4" xfId="545"/>
    <cellStyle name="Comma 3 2 5" xfId="546"/>
    <cellStyle name="Comma 3 2 6" xfId="547"/>
    <cellStyle name="Comma 3 3" xfId="548"/>
    <cellStyle name="Comma 3 3 2" xfId="549"/>
    <cellStyle name="Comma 3 3 2 2" xfId="550"/>
    <cellStyle name="Comma 3 3 2 2 2" xfId="551"/>
    <cellStyle name="Comma 3 3 2 2 3" xfId="552"/>
    <cellStyle name="Comma 3 3 2 3" xfId="553"/>
    <cellStyle name="Comma 3 3 2 4" xfId="554"/>
    <cellStyle name="Comma 3 3 2 5" xfId="555"/>
    <cellStyle name="Comma 3 3 3" xfId="556"/>
    <cellStyle name="Comma 3 3 3 2" xfId="557"/>
    <cellStyle name="Comma 3 3 3 3" xfId="558"/>
    <cellStyle name="Comma 3 3 4" xfId="559"/>
    <cellStyle name="Comma 3 3 5" xfId="560"/>
    <cellStyle name="Comma 3 3 6" xfId="561"/>
    <cellStyle name="Comma 3 4" xfId="562"/>
    <cellStyle name="Comma 3 4 2" xfId="563"/>
    <cellStyle name="Comma 3 4 2 2" xfId="564"/>
    <cellStyle name="Comma 3 4 2 2 2" xfId="565"/>
    <cellStyle name="Comma 3 4 2 2 3" xfId="566"/>
    <cellStyle name="Comma 3 4 2 3" xfId="567"/>
    <cellStyle name="Comma 3 4 2 4" xfId="568"/>
    <cellStyle name="Comma 3 4 2 5" xfId="569"/>
    <cellStyle name="Comma 3 4 3" xfId="570"/>
    <cellStyle name="Comma 3 4 3 2" xfId="571"/>
    <cellStyle name="Comma 3 4 3 3" xfId="572"/>
    <cellStyle name="Comma 3 4 4" xfId="573"/>
    <cellStyle name="Comma 3 4 5" xfId="574"/>
    <cellStyle name="Comma 3 4 6" xfId="575"/>
    <cellStyle name="Comma 3 5" xfId="576"/>
    <cellStyle name="Comma 3 5 2" xfId="577"/>
    <cellStyle name="Comma 3 5 2 2" xfId="578"/>
    <cellStyle name="Comma 3 5 2 2 2" xfId="579"/>
    <cellStyle name="Comma 3 5 2 2 3" xfId="580"/>
    <cellStyle name="Comma 3 5 2 3" xfId="581"/>
    <cellStyle name="Comma 3 5 2 4" xfId="582"/>
    <cellStyle name="Comma 3 5 2 5" xfId="583"/>
    <cellStyle name="Comma 3 5 3" xfId="584"/>
    <cellStyle name="Comma 3 5 3 2" xfId="585"/>
    <cellStyle name="Comma 3 5 3 3" xfId="586"/>
    <cellStyle name="Comma 3 5 4" xfId="587"/>
    <cellStyle name="Comma 3 5 5" xfId="588"/>
    <cellStyle name="Comma 3 5 6" xfId="589"/>
    <cellStyle name="Comma 3 6" xfId="590"/>
    <cellStyle name="Comma 3 6 2" xfId="591"/>
    <cellStyle name="Comma 3 6 2 2" xfId="592"/>
    <cellStyle name="Comma 3 6 2 2 2" xfId="593"/>
    <cellStyle name="Comma 3 6 2 2 3" xfId="594"/>
    <cellStyle name="Comma 3 6 2 3" xfId="595"/>
    <cellStyle name="Comma 3 6 2 4" xfId="596"/>
    <cellStyle name="Comma 3 6 2 5" xfId="597"/>
    <cellStyle name="Comma 3 6 3" xfId="598"/>
    <cellStyle name="Comma 3 6 3 2" xfId="599"/>
    <cellStyle name="Comma 3 6 3 3" xfId="600"/>
    <cellStyle name="Comma 3 6 4" xfId="601"/>
    <cellStyle name="Comma 3 6 5" xfId="602"/>
    <cellStyle name="Comma 3 6 6" xfId="603"/>
    <cellStyle name="Comma 3 7" xfId="604"/>
    <cellStyle name="Comma 3 7 2" xfId="605"/>
    <cellStyle name="Comma 3 7 2 2" xfId="606"/>
    <cellStyle name="Comma 3 7 2 3" xfId="607"/>
    <cellStyle name="Comma 3 7 3" xfId="608"/>
    <cellStyle name="Comma 3 7 4" xfId="609"/>
    <cellStyle name="Comma 3 7 5" xfId="610"/>
    <cellStyle name="Comma 3 8" xfId="611"/>
    <cellStyle name="Comma 3 8 2" xfId="612"/>
    <cellStyle name="Comma 3 8 3" xfId="613"/>
    <cellStyle name="Comma 3 9" xfId="614"/>
    <cellStyle name="Comma 4" xfId="615"/>
    <cellStyle name="Comma 5" xfId="616"/>
    <cellStyle name="Comma 5 10" xfId="617"/>
    <cellStyle name="Comma 5 11" xfId="618"/>
    <cellStyle name="Comma 5 2" xfId="619"/>
    <cellStyle name="Comma 5 2 2" xfId="620"/>
    <cellStyle name="Comma 5 2 2 2" xfId="621"/>
    <cellStyle name="Comma 5 2 2 2 2" xfId="622"/>
    <cellStyle name="Comma 5 2 2 2 3" xfId="623"/>
    <cellStyle name="Comma 5 2 2 3" xfId="624"/>
    <cellStyle name="Comma 5 2 2 4" xfId="625"/>
    <cellStyle name="Comma 5 2 2 5" xfId="626"/>
    <cellStyle name="Comma 5 2 3" xfId="627"/>
    <cellStyle name="Comma 5 2 3 2" xfId="628"/>
    <cellStyle name="Comma 5 2 3 3" xfId="629"/>
    <cellStyle name="Comma 5 2 4" xfId="630"/>
    <cellStyle name="Comma 5 2 5" xfId="631"/>
    <cellStyle name="Comma 5 2 6" xfId="632"/>
    <cellStyle name="Comma 5 3" xfId="633"/>
    <cellStyle name="Comma 5 3 2" xfId="634"/>
    <cellStyle name="Comma 5 3 2 2" xfId="635"/>
    <cellStyle name="Comma 5 3 2 2 2" xfId="636"/>
    <cellStyle name="Comma 5 3 2 2 3" xfId="637"/>
    <cellStyle name="Comma 5 3 2 3" xfId="638"/>
    <cellStyle name="Comma 5 3 2 4" xfId="639"/>
    <cellStyle name="Comma 5 3 2 5" xfId="640"/>
    <cellStyle name="Comma 5 3 3" xfId="641"/>
    <cellStyle name="Comma 5 3 3 2" xfId="642"/>
    <cellStyle name="Comma 5 3 3 3" xfId="643"/>
    <cellStyle name="Comma 5 3 4" xfId="644"/>
    <cellStyle name="Comma 5 3 5" xfId="645"/>
    <cellStyle name="Comma 5 3 6" xfId="646"/>
    <cellStyle name="Comma 5 4" xfId="647"/>
    <cellStyle name="Comma 5 4 2" xfId="648"/>
    <cellStyle name="Comma 5 4 2 2" xfId="649"/>
    <cellStyle name="Comma 5 4 2 2 2" xfId="650"/>
    <cellStyle name="Comma 5 4 2 2 3" xfId="651"/>
    <cellStyle name="Comma 5 4 2 3" xfId="652"/>
    <cellStyle name="Comma 5 4 2 4" xfId="653"/>
    <cellStyle name="Comma 5 4 2 5" xfId="654"/>
    <cellStyle name="Comma 5 4 3" xfId="655"/>
    <cellStyle name="Comma 5 4 3 2" xfId="656"/>
    <cellStyle name="Comma 5 4 3 3" xfId="657"/>
    <cellStyle name="Comma 5 4 4" xfId="658"/>
    <cellStyle name="Comma 5 4 5" xfId="659"/>
    <cellStyle name="Comma 5 4 6" xfId="660"/>
    <cellStyle name="Comma 5 5" xfId="661"/>
    <cellStyle name="Comma 5 5 2" xfId="662"/>
    <cellStyle name="Comma 5 5 2 2" xfId="663"/>
    <cellStyle name="Comma 5 5 2 2 2" xfId="664"/>
    <cellStyle name="Comma 5 5 2 2 3" xfId="665"/>
    <cellStyle name="Comma 5 5 2 3" xfId="666"/>
    <cellStyle name="Comma 5 5 2 4" xfId="667"/>
    <cellStyle name="Comma 5 5 2 5" xfId="668"/>
    <cellStyle name="Comma 5 5 3" xfId="669"/>
    <cellStyle name="Comma 5 5 3 2" xfId="670"/>
    <cellStyle name="Comma 5 5 3 3" xfId="671"/>
    <cellStyle name="Comma 5 5 4" xfId="672"/>
    <cellStyle name="Comma 5 5 5" xfId="673"/>
    <cellStyle name="Comma 5 5 6" xfId="674"/>
    <cellStyle name="Comma 5 6" xfId="675"/>
    <cellStyle name="Comma 5 6 2" xfId="676"/>
    <cellStyle name="Comma 5 6 2 2" xfId="677"/>
    <cellStyle name="Comma 5 6 2 2 2" xfId="678"/>
    <cellStyle name="Comma 5 6 2 2 3" xfId="679"/>
    <cellStyle name="Comma 5 6 2 3" xfId="680"/>
    <cellStyle name="Comma 5 6 2 4" xfId="681"/>
    <cellStyle name="Comma 5 6 2 5" xfId="682"/>
    <cellStyle name="Comma 5 6 3" xfId="683"/>
    <cellStyle name="Comma 5 6 3 2" xfId="684"/>
    <cellStyle name="Comma 5 6 3 3" xfId="685"/>
    <cellStyle name="Comma 5 6 4" xfId="686"/>
    <cellStyle name="Comma 5 6 5" xfId="687"/>
    <cellStyle name="Comma 5 6 6" xfId="688"/>
    <cellStyle name="Comma 5 7" xfId="689"/>
    <cellStyle name="Comma 5 7 2" xfId="690"/>
    <cellStyle name="Comma 5 7 2 2" xfId="691"/>
    <cellStyle name="Comma 5 7 2 3" xfId="692"/>
    <cellStyle name="Comma 5 7 3" xfId="693"/>
    <cellStyle name="Comma 5 7 4" xfId="694"/>
    <cellStyle name="Comma 5 7 5" xfId="695"/>
    <cellStyle name="Comma 5 8" xfId="696"/>
    <cellStyle name="Comma 5 8 2" xfId="697"/>
    <cellStyle name="Comma 5 8 3" xfId="698"/>
    <cellStyle name="Comma 5 9" xfId="699"/>
    <cellStyle name="Comma 6" xfId="700"/>
    <cellStyle name="Comma 7" xfId="701"/>
    <cellStyle name="Comma 8" xfId="702"/>
    <cellStyle name="Comma 8 2" xfId="703"/>
    <cellStyle name="Comma 8 2 2" xfId="19514"/>
    <cellStyle name="Comma 8 3" xfId="19513"/>
    <cellStyle name="Comma 9" xfId="704"/>
    <cellStyle name="Comma_#6 Temps &amp; Contractors" xfId="705"/>
    <cellStyle name="Currency [0]" xfId="706"/>
    <cellStyle name="Currency [0] 2" xfId="707"/>
    <cellStyle name="Currency [0] 2 2" xfId="708"/>
    <cellStyle name="Currency [00]" xfId="709"/>
    <cellStyle name="Currency 2" xfId="710"/>
    <cellStyle name="Currency 2 2" xfId="711"/>
    <cellStyle name="Currency 2 3" xfId="712"/>
    <cellStyle name="Currency 3" xfId="713"/>
    <cellStyle name="Currency 3 2" xfId="714"/>
    <cellStyle name="Currency 3 3" xfId="715"/>
    <cellStyle name="Currency 4" xfId="716"/>
    <cellStyle name="Currency_#6 Temps &amp; Contractors" xfId="717"/>
    <cellStyle name="date" xfId="718"/>
    <cellStyle name="Date Short" xfId="719"/>
    <cellStyle name="DELTA" xfId="720"/>
    <cellStyle name="E&amp;Y House" xfId="721"/>
    <cellStyle name="Enter Currency (0)" xfId="722"/>
    <cellStyle name="Enter Currency (2)" xfId="723"/>
    <cellStyle name="Enter Units (0)" xfId="724"/>
    <cellStyle name="Enter Units (1)" xfId="725"/>
    <cellStyle name="Enter Units (2)" xfId="726"/>
    <cellStyle name="Euro" xfId="727"/>
    <cellStyle name="Euro 10" xfId="728"/>
    <cellStyle name="Euro 2" xfId="729"/>
    <cellStyle name="Euro 2 2" xfId="730"/>
    <cellStyle name="Euro 2 3" xfId="731"/>
    <cellStyle name="Euro 3" xfId="732"/>
    <cellStyle name="Euro 4" xfId="733"/>
    <cellStyle name="Euro 5" xfId="734"/>
    <cellStyle name="Euro 6" xfId="735"/>
    <cellStyle name="Euro 7" xfId="736"/>
    <cellStyle name="Euro 8" xfId="737"/>
    <cellStyle name="Euro 9" xfId="738"/>
    <cellStyle name="Excel Built-in Comma" xfId="739"/>
    <cellStyle name="Excel Built-in Excel Built-in Excel Built-in Excel Built-in Excel Built-in Excel Built-in Excel Built-in Excel Built-in Excel Built-in Excel Built-in Excel Built-in Normal" xfId="740"/>
    <cellStyle name="Excel Built-in Excel Built-in Excel Built-in Обычный 2 2 2" xfId="741"/>
    <cellStyle name="Excel Built-in Excel Built-in Excel Built-in Обычный 2 3 2 2" xfId="742"/>
    <cellStyle name="Excel Built-in Excel Built-in Normal" xfId="743"/>
    <cellStyle name="Excel Built-in Excel Built-in TableStyleLight1" xfId="744"/>
    <cellStyle name="Excel Built-in Normal" xfId="745"/>
    <cellStyle name="Excel Built-in Normal 2" xfId="746"/>
    <cellStyle name="Excel_BuiltIn_Comma_0" xfId="747"/>
    <cellStyle name="Explanatory Text" xfId="748"/>
    <cellStyle name="F2" xfId="749"/>
    <cellStyle name="F3" xfId="750"/>
    <cellStyle name="F4" xfId="751"/>
    <cellStyle name="F5" xfId="752"/>
    <cellStyle name="F6" xfId="753"/>
    <cellStyle name="F7" xfId="754"/>
    <cellStyle name="F8" xfId="755"/>
    <cellStyle name="Flag" xfId="756"/>
    <cellStyle name="Followed Hyperlink___03  " xfId="757"/>
    <cellStyle name="Good" xfId="758"/>
    <cellStyle name="Header1" xfId="759"/>
    <cellStyle name="Header1 2" xfId="760"/>
    <cellStyle name="Header2" xfId="761"/>
    <cellStyle name="Header2 2" xfId="762"/>
    <cellStyle name="Header2 2 2" xfId="763"/>
    <cellStyle name="Header2 2 2 2" xfId="764"/>
    <cellStyle name="Header2 2 2 2 2" xfId="765"/>
    <cellStyle name="Header2 2 2 2 2 2" xfId="19937"/>
    <cellStyle name="Header2 2 2 2 3" xfId="19938"/>
    <cellStyle name="Header2 2 2 3" xfId="766"/>
    <cellStyle name="Header2 2 2 3 2" xfId="19936"/>
    <cellStyle name="Header2 2 2 4" xfId="767"/>
    <cellStyle name="Header2 2 2 4 2" xfId="19935"/>
    <cellStyle name="Header2 2 2 5" xfId="768"/>
    <cellStyle name="Header2 2 2 5 2" xfId="19934"/>
    <cellStyle name="Header2 2 2 6" xfId="769"/>
    <cellStyle name="Header2 2 2 6 2" xfId="19933"/>
    <cellStyle name="Header2 2 2 7" xfId="19939"/>
    <cellStyle name="Header2 2 3" xfId="770"/>
    <cellStyle name="Header2 2 3 2" xfId="771"/>
    <cellStyle name="Header2 2 3 2 2" xfId="19931"/>
    <cellStyle name="Header2 2 3 3" xfId="19932"/>
    <cellStyle name="Header2 2 4" xfId="772"/>
    <cellStyle name="Header2 2 4 2" xfId="19930"/>
    <cellStyle name="Header2 2 5" xfId="773"/>
    <cellStyle name="Header2 2 5 2" xfId="19929"/>
    <cellStyle name="Header2 2 6" xfId="19940"/>
    <cellStyle name="Header2 3" xfId="774"/>
    <cellStyle name="Header2 3 2" xfId="775"/>
    <cellStyle name="Header2 3 2 2" xfId="776"/>
    <cellStyle name="Header2 3 2 2 2" xfId="19926"/>
    <cellStyle name="Header2 3 2 3" xfId="19927"/>
    <cellStyle name="Header2 3 3" xfId="777"/>
    <cellStyle name="Header2 3 3 2" xfId="19925"/>
    <cellStyle name="Header2 3 4" xfId="778"/>
    <cellStyle name="Header2 3 4 2" xfId="19924"/>
    <cellStyle name="Header2 3 5" xfId="779"/>
    <cellStyle name="Header2 3 5 2" xfId="19923"/>
    <cellStyle name="Header2 3 6" xfId="780"/>
    <cellStyle name="Header2 3 6 2" xfId="19922"/>
    <cellStyle name="Header2 3 7" xfId="19928"/>
    <cellStyle name="Header2 4" xfId="781"/>
    <cellStyle name="Header2 4 2" xfId="782"/>
    <cellStyle name="Header2 4 2 2" xfId="19920"/>
    <cellStyle name="Header2 4 3" xfId="19921"/>
    <cellStyle name="Header2 5" xfId="783"/>
    <cellStyle name="Header2 5 2" xfId="19919"/>
    <cellStyle name="Header2 6" xfId="784"/>
    <cellStyle name="Header2 6 2" xfId="19918"/>
    <cellStyle name="Header2 7" xfId="19941"/>
    <cellStyle name="Heading 1" xfId="785"/>
    <cellStyle name="Heading 1 2" xfId="786"/>
    <cellStyle name="Heading 2" xfId="787"/>
    <cellStyle name="Heading 2 2" xfId="788"/>
    <cellStyle name="Heading 3" xfId="789"/>
    <cellStyle name="Heading 4" xfId="790"/>
    <cellStyle name="Heading1" xfId="791"/>
    <cellStyle name="Heading2" xfId="792"/>
    <cellStyle name="Heading3" xfId="793"/>
    <cellStyle name="Heading4" xfId="794"/>
    <cellStyle name="Heading5" xfId="795"/>
    <cellStyle name="Heading6" xfId="796"/>
    <cellStyle name="Horizontal" xfId="797"/>
    <cellStyle name="Hyperlink 2" xfId="798"/>
    <cellStyle name="Hyperlink 3" xfId="799"/>
    <cellStyle name="Hyperlink 4" xfId="800"/>
    <cellStyle name="Hyperlink 5" xfId="801"/>
    <cellStyle name="Hyperlink___03" xfId="802"/>
    <cellStyle name="Iau?iue_?anoiau" xfId="803"/>
    <cellStyle name="Index" xfId="804"/>
    <cellStyle name="Index 2" xfId="805"/>
    <cellStyle name="Input" xfId="806"/>
    <cellStyle name="Input 2" xfId="807"/>
    <cellStyle name="Input 2 2" xfId="808"/>
    <cellStyle name="Input 2 2 2" xfId="809"/>
    <cellStyle name="Input 2 2 2 2" xfId="19915"/>
    <cellStyle name="Input 2 2 3" xfId="810"/>
    <cellStyle name="Input 2 2 3 2" xfId="19914"/>
    <cellStyle name="Input 2 2 4" xfId="811"/>
    <cellStyle name="Input 2 2 4 2" xfId="19913"/>
    <cellStyle name="Input 2 2 5" xfId="812"/>
    <cellStyle name="Input 2 2 5 2" xfId="19912"/>
    <cellStyle name="Input 2 2 6" xfId="813"/>
    <cellStyle name="Input 2 2 6 2" xfId="19911"/>
    <cellStyle name="Input 2 2 7" xfId="19916"/>
    <cellStyle name="Input 2 3" xfId="814"/>
    <cellStyle name="Input 2 3 2" xfId="815"/>
    <cellStyle name="Input 2 3 2 2" xfId="19909"/>
    <cellStyle name="Input 2 3 3" xfId="19910"/>
    <cellStyle name="Input 2 4" xfId="816"/>
    <cellStyle name="Input 2 4 2" xfId="817"/>
    <cellStyle name="Input 2 4 2 2" xfId="19907"/>
    <cellStyle name="Input 2 4 3" xfId="19908"/>
    <cellStyle name="Input 2 5" xfId="818"/>
    <cellStyle name="Input 2 5 2" xfId="19906"/>
    <cellStyle name="Input 2 6" xfId="819"/>
    <cellStyle name="Input 2 6 2" xfId="19905"/>
    <cellStyle name="Input 2 7" xfId="820"/>
    <cellStyle name="Input 2 7 2" xfId="19904"/>
    <cellStyle name="Input 2 8" xfId="821"/>
    <cellStyle name="Input 2 8 2" xfId="19903"/>
    <cellStyle name="Input 2 9" xfId="19917"/>
    <cellStyle name="Input 3" xfId="822"/>
    <cellStyle name="Input 3 2" xfId="823"/>
    <cellStyle name="Input 3 2 2" xfId="824"/>
    <cellStyle name="Input 3 2 2 2" xfId="19900"/>
    <cellStyle name="Input 3 2 3" xfId="825"/>
    <cellStyle name="Input 3 2 3 2" xfId="19899"/>
    <cellStyle name="Input 3 2 4" xfId="826"/>
    <cellStyle name="Input 3 2 4 2" xfId="19898"/>
    <cellStyle name="Input 3 2 5" xfId="827"/>
    <cellStyle name="Input 3 2 5 2" xfId="19897"/>
    <cellStyle name="Input 3 2 6" xfId="828"/>
    <cellStyle name="Input 3 2 6 2" xfId="19896"/>
    <cellStyle name="Input 3 2 7" xfId="19901"/>
    <cellStyle name="Input 3 3" xfId="829"/>
    <cellStyle name="Input 3 3 2" xfId="830"/>
    <cellStyle name="Input 3 3 2 2" xfId="19894"/>
    <cellStyle name="Input 3 3 3" xfId="19895"/>
    <cellStyle name="Input 3 4" xfId="831"/>
    <cellStyle name="Input 3 4 2" xfId="832"/>
    <cellStyle name="Input 3 4 2 2" xfId="19892"/>
    <cellStyle name="Input 3 4 3" xfId="19893"/>
    <cellStyle name="Input 3 5" xfId="833"/>
    <cellStyle name="Input 3 5 2" xfId="19891"/>
    <cellStyle name="Input 3 6" xfId="834"/>
    <cellStyle name="Input 3 6 2" xfId="19890"/>
    <cellStyle name="Input 3 7" xfId="835"/>
    <cellStyle name="Input 3 7 2" xfId="19889"/>
    <cellStyle name="Input 3 8" xfId="836"/>
    <cellStyle name="Input 3 8 2" xfId="19888"/>
    <cellStyle name="Input 3 9" xfId="19902"/>
    <cellStyle name="Ioe?uaaaoayny aeia?nnueea" xfId="837"/>
    <cellStyle name="ISO" xfId="838"/>
    <cellStyle name="Ivedimas" xfId="839"/>
    <cellStyle name="Ivedimas 2" xfId="840"/>
    <cellStyle name="Ivedimas 2 2" xfId="841"/>
    <cellStyle name="Ivedimas 2 2 2" xfId="842"/>
    <cellStyle name="Ivedimas 2 2 2 2" xfId="843"/>
    <cellStyle name="Ivedimas 2 2 3" xfId="844"/>
    <cellStyle name="Ivedimas 2 2 3 2" xfId="845"/>
    <cellStyle name="Ivedimas 2 2 4" xfId="846"/>
    <cellStyle name="Ivedimas 2 2 5" xfId="847"/>
    <cellStyle name="Ivedimas 2 2 6" xfId="848"/>
    <cellStyle name="Ivedimas 2 2 7" xfId="849"/>
    <cellStyle name="Ivedimas 2 3" xfId="850"/>
    <cellStyle name="Ivedimas 2 3 2" xfId="851"/>
    <cellStyle name="Ivedimas 2 4" xfId="852"/>
    <cellStyle name="Ivedimas 3" xfId="853"/>
    <cellStyle name="Ivedimas 3 2" xfId="854"/>
    <cellStyle name="Ivedimas 3 2 2" xfId="855"/>
    <cellStyle name="Ivedimas 3 3" xfId="856"/>
    <cellStyle name="Ivedimas 3 3 2" xfId="857"/>
    <cellStyle name="Ivedimas 3 4" xfId="858"/>
    <cellStyle name="Ivedimas 3 5" xfId="859"/>
    <cellStyle name="Ivedimas 3 6" xfId="860"/>
    <cellStyle name="Ivedimas 3 7" xfId="861"/>
    <cellStyle name="Ivedimas 4" xfId="862"/>
    <cellStyle name="Ivedimas 4 2" xfId="863"/>
    <cellStyle name="Ivedimas 5" xfId="864"/>
    <cellStyle name="Ivedimo1" xfId="865"/>
    <cellStyle name="Ivedimo1 2" xfId="866"/>
    <cellStyle name="Ivedimo1 2 2" xfId="867"/>
    <cellStyle name="Ivedimo1 2 2 2" xfId="868"/>
    <cellStyle name="Ivedimo1 2 2 2 2" xfId="869"/>
    <cellStyle name="Ivedimo1 2 2 3" xfId="870"/>
    <cellStyle name="Ivedimo1 2 2 3 2" xfId="871"/>
    <cellStyle name="Ivedimo1 2 2 4" xfId="872"/>
    <cellStyle name="Ivedimo1 2 2 5" xfId="873"/>
    <cellStyle name="Ivedimo1 2 2 6" xfId="874"/>
    <cellStyle name="Ivedimo1 2 2 7" xfId="875"/>
    <cellStyle name="Ivedimo1 2 3" xfId="876"/>
    <cellStyle name="Ivedimo1 2 3 2" xfId="877"/>
    <cellStyle name="Ivedimo1 2 4" xfId="878"/>
    <cellStyle name="Ivedimo1 3" xfId="879"/>
    <cellStyle name="Ivedimo1 3 2" xfId="880"/>
    <cellStyle name="Ivedimo1 3 2 2" xfId="881"/>
    <cellStyle name="Ivedimo1 3 3" xfId="882"/>
    <cellStyle name="Ivedimo1 3 3 2" xfId="883"/>
    <cellStyle name="Ivedimo1 3 4" xfId="884"/>
    <cellStyle name="Ivedimo1 3 5" xfId="885"/>
    <cellStyle name="Ivedimo1 3 6" xfId="886"/>
    <cellStyle name="Ivedimo1 3 7" xfId="887"/>
    <cellStyle name="Ivedimo1 4" xfId="888"/>
    <cellStyle name="Ivedimo1 4 2" xfId="889"/>
    <cellStyle name="Ivedimo1 5" xfId="890"/>
    <cellStyle name="Ivedimo2" xfId="891"/>
    <cellStyle name="Ivedimo2 2" xfId="892"/>
    <cellStyle name="Ivedimo2 2 2" xfId="893"/>
    <cellStyle name="Ivedimo2 2 2 2" xfId="894"/>
    <cellStyle name="Ivedimo2 2 2 2 2" xfId="895"/>
    <cellStyle name="Ivedimo2 2 2 3" xfId="896"/>
    <cellStyle name="Ivedimo2 2 2 3 2" xfId="897"/>
    <cellStyle name="Ivedimo2 2 2 4" xfId="898"/>
    <cellStyle name="Ivedimo2 2 2 5" xfId="899"/>
    <cellStyle name="Ivedimo2 2 2 6" xfId="900"/>
    <cellStyle name="Ivedimo2 2 2 7" xfId="901"/>
    <cellStyle name="Ivedimo2 2 3" xfId="902"/>
    <cellStyle name="Ivedimo2 2 3 2" xfId="903"/>
    <cellStyle name="Ivedimo2 2 4" xfId="904"/>
    <cellStyle name="Ivedimo2 3" xfId="905"/>
    <cellStyle name="Ivedimo2 3 2" xfId="906"/>
    <cellStyle name="Ivedimo2 3 2 2" xfId="907"/>
    <cellStyle name="Ivedimo2 3 3" xfId="908"/>
    <cellStyle name="Ivedimo2 3 3 2" xfId="909"/>
    <cellStyle name="Ivedimo2 3 4" xfId="910"/>
    <cellStyle name="Ivedimo2 3 5" xfId="911"/>
    <cellStyle name="Ivedimo2 3 6" xfId="912"/>
    <cellStyle name="Ivedimo2 3 7" xfId="913"/>
    <cellStyle name="Ivedimo2 4" xfId="914"/>
    <cellStyle name="Ivedimo2 4 2" xfId="915"/>
    <cellStyle name="Ivedimo2 5" xfId="916"/>
    <cellStyle name="Ivedimo5" xfId="917"/>
    <cellStyle name="Ivedimo5 2" xfId="918"/>
    <cellStyle name="Ivedimo5 2 2" xfId="919"/>
    <cellStyle name="Ivedimo5 2 2 2" xfId="920"/>
    <cellStyle name="Ivedimo5 2 2 2 2" xfId="921"/>
    <cellStyle name="Ivedimo5 2 2 3" xfId="922"/>
    <cellStyle name="Ivedimo5 2 2 3 2" xfId="923"/>
    <cellStyle name="Ivedimo5 2 2 4" xfId="924"/>
    <cellStyle name="Ivedimo5 2 2 5" xfId="925"/>
    <cellStyle name="Ivedimo5 2 2 6" xfId="926"/>
    <cellStyle name="Ivedimo5 2 2 7" xfId="927"/>
    <cellStyle name="Ivedimo5 2 3" xfId="928"/>
    <cellStyle name="Ivedimo5 2 3 2" xfId="929"/>
    <cellStyle name="Ivedimo5 2 4" xfId="930"/>
    <cellStyle name="Ivedimo5 3" xfId="931"/>
    <cellStyle name="Ivedimo5 3 2" xfId="932"/>
    <cellStyle name="Ivedimo5 3 2 2" xfId="933"/>
    <cellStyle name="Ivedimo5 3 3" xfId="934"/>
    <cellStyle name="Ivedimo5 3 3 2" xfId="935"/>
    <cellStyle name="Ivedimo5 3 4" xfId="936"/>
    <cellStyle name="Ivedimo5 3 5" xfId="937"/>
    <cellStyle name="Ivedimo5 3 6" xfId="938"/>
    <cellStyle name="Ivedimo5 3 7" xfId="939"/>
    <cellStyle name="Ivedimo5 4" xfId="940"/>
    <cellStyle name="Ivedimo5 4 2" xfId="941"/>
    <cellStyle name="Ivedimo5 5" xfId="942"/>
    <cellStyle name="Link Currency (0)" xfId="943"/>
    <cellStyle name="Link Currency (2)" xfId="944"/>
    <cellStyle name="Link Units (0)" xfId="945"/>
    <cellStyle name="Link Units (1)" xfId="946"/>
    <cellStyle name="Link Units (2)" xfId="947"/>
    <cellStyle name="Linked Cell" xfId="948"/>
    <cellStyle name="Matrix" xfId="949"/>
    <cellStyle name="Milliers [0]_Conversion Summary" xfId="950"/>
    <cellStyle name="Milliers_Conversion Summary" xfId="951"/>
    <cellStyle name="millions" xfId="952"/>
    <cellStyle name="millions 2" xfId="953"/>
    <cellStyle name="Monйtaire [0]_Conversion Summary" xfId="954"/>
    <cellStyle name="Monйtaire_Conversion Summary" xfId="955"/>
    <cellStyle name="Neutral" xfId="956"/>
    <cellStyle name="Norma11l" xfId="957"/>
    <cellStyle name="Norma11l 2" xfId="958"/>
    <cellStyle name="Norma11l 2 2" xfId="959"/>
    <cellStyle name="Norma11l 2 2 2" xfId="960"/>
    <cellStyle name="Norma11l 2 2 2 2" xfId="961"/>
    <cellStyle name="Norma11l 2 2 2 3" xfId="962"/>
    <cellStyle name="Norma11l 2 2 3" xfId="963"/>
    <cellStyle name="Norma11l 2 2 4" xfId="964"/>
    <cellStyle name="Norma11l 2 3" xfId="965"/>
    <cellStyle name="Norma11l 2 3 2" xfId="966"/>
    <cellStyle name="Norma11l 2 3 2 2" xfId="967"/>
    <cellStyle name="Norma11l 2 3 3" xfId="968"/>
    <cellStyle name="Norma11l 2 4" xfId="969"/>
    <cellStyle name="Norma11l 2 4 2" xfId="970"/>
    <cellStyle name="Norma11l 3" xfId="971"/>
    <cellStyle name="Norma11l 3 2" xfId="972"/>
    <cellStyle name="Norma11l 3 2 2" xfId="973"/>
    <cellStyle name="Norma11l 3 2 2 2" xfId="974"/>
    <cellStyle name="Norma11l 3 2 3" xfId="975"/>
    <cellStyle name="Norma11l 3 3" xfId="976"/>
    <cellStyle name="Norma11l 3 3 2" xfId="977"/>
    <cellStyle name="Norma11l 3 4" xfId="978"/>
    <cellStyle name="Norma11l 3 5" xfId="979"/>
    <cellStyle name="Norma11l 4" xfId="980"/>
    <cellStyle name="Norma11l 4 2" xfId="981"/>
    <cellStyle name="Norma11l 4 2 2" xfId="982"/>
    <cellStyle name="Norma11l 4 2 3" xfId="983"/>
    <cellStyle name="Norma11l 4 3" xfId="984"/>
    <cellStyle name="Norma11l 4 4" xfId="985"/>
    <cellStyle name="Norma11l 5" xfId="986"/>
    <cellStyle name="Norma11l 5 2" xfId="987"/>
    <cellStyle name="Norma11l 5 2 2" xfId="988"/>
    <cellStyle name="Norma11l 5 3" xfId="989"/>
    <cellStyle name="Norma11l 6" xfId="990"/>
    <cellStyle name="Norma11l 6 2" xfId="991"/>
    <cellStyle name="normal" xfId="992"/>
    <cellStyle name="Normal 10" xfId="993"/>
    <cellStyle name="Normal 11" xfId="994"/>
    <cellStyle name="Normal 11 2" xfId="995"/>
    <cellStyle name="Normal 12" xfId="996"/>
    <cellStyle name="Normal 12 2" xfId="997"/>
    <cellStyle name="Normal 12 2 2" xfId="998"/>
    <cellStyle name="Normal 12 2 2 2" xfId="999"/>
    <cellStyle name="Normal 12 2 2 2 2" xfId="1000"/>
    <cellStyle name="Normal 12 2 2 2 3" xfId="1001"/>
    <cellStyle name="Normal 12 2 2 3" xfId="1002"/>
    <cellStyle name="Normal 12 2 2 4" xfId="1003"/>
    <cellStyle name="Normal 12 2 3" xfId="1004"/>
    <cellStyle name="Normal 12 2 3 2" xfId="1005"/>
    <cellStyle name="Normal 12 2 3 3" xfId="1006"/>
    <cellStyle name="Normal 12 2 4" xfId="1007"/>
    <cellStyle name="Normal 12 2 5" xfId="1008"/>
    <cellStyle name="Normal 12 3" xfId="1009"/>
    <cellStyle name="Normal 12 3 2" xfId="1010"/>
    <cellStyle name="Normal 12 3 2 2" xfId="1011"/>
    <cellStyle name="Normal 12 3 2 3" xfId="1012"/>
    <cellStyle name="Normal 12 3 3" xfId="1013"/>
    <cellStyle name="Normal 12 3 4" xfId="1014"/>
    <cellStyle name="Normal 12 4" xfId="1015"/>
    <cellStyle name="Normal 12 4 2" xfId="1016"/>
    <cellStyle name="Normal 12 4 3" xfId="1017"/>
    <cellStyle name="Normal 12 5" xfId="1018"/>
    <cellStyle name="Normal 12 6" xfId="1019"/>
    <cellStyle name="Normal 12_Расчет  30 млн_Технополис  Коренькова" xfId="1020"/>
    <cellStyle name="Normal 13" xfId="1021"/>
    <cellStyle name="Normal 14" xfId="1022"/>
    <cellStyle name="Normal 15" xfId="1023"/>
    <cellStyle name="Normal 16" xfId="1024"/>
    <cellStyle name="Normal 16 2" xfId="1025"/>
    <cellStyle name="Normal 16 2 2" xfId="1026"/>
    <cellStyle name="Normal 16 2 2 2" xfId="1027"/>
    <cellStyle name="Normal 16 2 2 3" xfId="1028"/>
    <cellStyle name="Normal 16 2 3" xfId="1029"/>
    <cellStyle name="Normal 16 2 4" xfId="1030"/>
    <cellStyle name="Normal 16 3" xfId="1031"/>
    <cellStyle name="Normal 16 3 2" xfId="1032"/>
    <cellStyle name="Normal 16 3 3" xfId="1033"/>
    <cellStyle name="Normal 16 4" xfId="1034"/>
    <cellStyle name="Normal 16 5" xfId="1035"/>
    <cellStyle name="Normal 17" xfId="1036"/>
    <cellStyle name="Normal 18" xfId="1037"/>
    <cellStyle name="normal 2" xfId="1038"/>
    <cellStyle name="normal 2 10" xfId="1039"/>
    <cellStyle name="normal 2 10 2" xfId="1040"/>
    <cellStyle name="normal 2 10 2 2" xfId="1041"/>
    <cellStyle name="normal 2 10 2 3" xfId="1042"/>
    <cellStyle name="normal 2 10 3" xfId="1043"/>
    <cellStyle name="normal 2 10 4" xfId="1044"/>
    <cellStyle name="normal 2 11" xfId="1045"/>
    <cellStyle name="normal 2 11 2" xfId="1046"/>
    <cellStyle name="normal 2 11 3" xfId="1047"/>
    <cellStyle name="normal 2 12" xfId="1048"/>
    <cellStyle name="Normal 2 13" xfId="1049"/>
    <cellStyle name="Normal 2 14" xfId="1050"/>
    <cellStyle name="normal 2 15" xfId="1051"/>
    <cellStyle name="normal 2 2" xfId="1052"/>
    <cellStyle name="normal 2 2 2" xfId="1053"/>
    <cellStyle name="normal 2 2 2 2" xfId="1054"/>
    <cellStyle name="normal 2 2 2 2 2" xfId="1055"/>
    <cellStyle name="normal 2 2 2 2 2 2" xfId="1056"/>
    <cellStyle name="normal 2 2 2 2 2 2 2" xfId="1057"/>
    <cellStyle name="normal 2 2 2 2 2 2 3" xfId="1058"/>
    <cellStyle name="normal 2 2 2 2 2 3" xfId="1059"/>
    <cellStyle name="normal 2 2 2 2 2 4" xfId="1060"/>
    <cellStyle name="normal 2 2 2 2 3" xfId="1061"/>
    <cellStyle name="normal 2 2 2 2 3 2" xfId="1062"/>
    <cellStyle name="normal 2 2 2 2 3 3" xfId="1063"/>
    <cellStyle name="normal 2 2 2 2 4" xfId="1064"/>
    <cellStyle name="normal 2 2 2 2 5" xfId="1065"/>
    <cellStyle name="normal 2 2 2 3" xfId="1066"/>
    <cellStyle name="normal 2 2 2 3 2" xfId="1067"/>
    <cellStyle name="normal 2 2 2 3 2 2" xfId="1068"/>
    <cellStyle name="normal 2 2 2 3 2 3" xfId="1069"/>
    <cellStyle name="normal 2 2 2 3 3" xfId="1070"/>
    <cellStyle name="normal 2 2 2 3 4" xfId="1071"/>
    <cellStyle name="normal 2 2 2 4" xfId="1072"/>
    <cellStyle name="normal 2 2 2 4 2" xfId="1073"/>
    <cellStyle name="normal 2 2 2 4 3" xfId="1074"/>
    <cellStyle name="normal 2 2 2 5" xfId="1075"/>
    <cellStyle name="normal 2 2 2 6" xfId="1076"/>
    <cellStyle name="normal 2 2 2_Расчет  30 млн_Технополис  Коренькова" xfId="1077"/>
    <cellStyle name="normal 2 2 3" xfId="1078"/>
    <cellStyle name="normal 2 2 3 2" xfId="1079"/>
    <cellStyle name="normal 2 2 3 2 2" xfId="1080"/>
    <cellStyle name="normal 2 2 3 2 2 2" xfId="1081"/>
    <cellStyle name="normal 2 2 3 2 2 3" xfId="1082"/>
    <cellStyle name="normal 2 2 3 2 3" xfId="1083"/>
    <cellStyle name="normal 2 2 3 2 4" xfId="1084"/>
    <cellStyle name="normal 2 2 3 3" xfId="1085"/>
    <cellStyle name="normal 2 2 3 3 2" xfId="1086"/>
    <cellStyle name="normal 2 2 3 3 3" xfId="1087"/>
    <cellStyle name="normal 2 2 3 4" xfId="1088"/>
    <cellStyle name="normal 2 2 3 5" xfId="1089"/>
    <cellStyle name="normal 2 2 4" xfId="1090"/>
    <cellStyle name="normal 2 2 4 2" xfId="1091"/>
    <cellStyle name="normal 2 2 4 2 2" xfId="1092"/>
    <cellStyle name="normal 2 2 4 2 2 2" xfId="1093"/>
    <cellStyle name="normal 2 2 4 2 2 3" xfId="1094"/>
    <cellStyle name="normal 2 2 4 2 3" xfId="1095"/>
    <cellStyle name="normal 2 2 4 2 4" xfId="1096"/>
    <cellStyle name="normal 2 2 4 3" xfId="1097"/>
    <cellStyle name="normal 2 2 4 3 2" xfId="1098"/>
    <cellStyle name="normal 2 2 4 3 3" xfId="1099"/>
    <cellStyle name="normal 2 2 4 4" xfId="1100"/>
    <cellStyle name="normal 2 2 4 5" xfId="1101"/>
    <cellStyle name="normal 2 2 5" xfId="1102"/>
    <cellStyle name="normal 2 2 5 2" xfId="1103"/>
    <cellStyle name="normal 2 2 5 2 2" xfId="1104"/>
    <cellStyle name="normal 2 2 5 2 3" xfId="1105"/>
    <cellStyle name="normal 2 2 5 3" xfId="1106"/>
    <cellStyle name="normal 2 2 5 4" xfId="1107"/>
    <cellStyle name="normal 2 2 6" xfId="1108"/>
    <cellStyle name="normal 2 2 6 2" xfId="1109"/>
    <cellStyle name="normal 2 2 6 3" xfId="1110"/>
    <cellStyle name="normal 2 2 7" xfId="1111"/>
    <cellStyle name="normal 2 2 8" xfId="1112"/>
    <cellStyle name="normal 2 2_Расчет  30 млн_Технополис  Коренькова" xfId="1113"/>
    <cellStyle name="normal 2 3" xfId="1114"/>
    <cellStyle name="normal 2 3 2" xfId="1115"/>
    <cellStyle name="normal 2 3 2 2" xfId="1116"/>
    <cellStyle name="normal 2 3 2 2 2" xfId="1117"/>
    <cellStyle name="normal 2 3 2 2 3" xfId="1118"/>
    <cellStyle name="normal 2 3 2 3" xfId="1119"/>
    <cellStyle name="normal 2 3 2 4" xfId="1120"/>
    <cellStyle name="normal 2 3 3" xfId="1121"/>
    <cellStyle name="normal 2 3 3 2" xfId="1122"/>
    <cellStyle name="normal 2 3 3 2 2" xfId="1123"/>
    <cellStyle name="normal 2 3 3 2 3" xfId="1124"/>
    <cellStyle name="normal 2 3 3 3" xfId="1125"/>
    <cellStyle name="normal 2 3 3 4" xfId="1126"/>
    <cellStyle name="normal 2 3 4" xfId="1127"/>
    <cellStyle name="normal 2 3 4 2" xfId="1128"/>
    <cellStyle name="normal 2 3 4 2 2" xfId="1129"/>
    <cellStyle name="normal 2 3 4 2 2 2" xfId="1130"/>
    <cellStyle name="normal 2 3 4 2 2 3" xfId="1131"/>
    <cellStyle name="normal 2 3 4 2 3" xfId="1132"/>
    <cellStyle name="normal 2 3 4 2 4" xfId="1133"/>
    <cellStyle name="normal 2 3 4 3" xfId="1134"/>
    <cellStyle name="normal 2 3 4 3 2" xfId="1135"/>
    <cellStyle name="normal 2 3 4 3 3" xfId="1136"/>
    <cellStyle name="normal 2 3 4 4" xfId="1137"/>
    <cellStyle name="normal 2 3 4 5" xfId="1138"/>
    <cellStyle name="normal 2 3 5" xfId="1139"/>
    <cellStyle name="normal 2 3 5 2" xfId="1140"/>
    <cellStyle name="normal 2 3 5 3" xfId="1141"/>
    <cellStyle name="normal 2 3 6" xfId="1142"/>
    <cellStyle name="normal 2 3 7" xfId="1143"/>
    <cellStyle name="normal 2 4" xfId="1144"/>
    <cellStyle name="normal 2 4 2" xfId="1145"/>
    <cellStyle name="normal 2 4 2 2" xfId="1146"/>
    <cellStyle name="normal 2 4 2 2 2" xfId="1147"/>
    <cellStyle name="normal 2 4 2 2 3" xfId="1148"/>
    <cellStyle name="normal 2 4 2 3" xfId="1149"/>
    <cellStyle name="normal 2 4 2 4" xfId="1150"/>
    <cellStyle name="normal 2 4 3" xfId="1151"/>
    <cellStyle name="normal 2 4 3 2" xfId="1152"/>
    <cellStyle name="normal 2 4 3 3" xfId="1153"/>
    <cellStyle name="normal 2 4 4" xfId="1154"/>
    <cellStyle name="normal 2 4 5" xfId="1155"/>
    <cellStyle name="normal 2 5" xfId="1156"/>
    <cellStyle name="normal 2 5 2" xfId="1157"/>
    <cellStyle name="normal 2 5 2 2" xfId="1158"/>
    <cellStyle name="normal 2 5 2 2 2" xfId="1159"/>
    <cellStyle name="normal 2 5 2 2 3" xfId="1160"/>
    <cellStyle name="normal 2 5 2 3" xfId="1161"/>
    <cellStyle name="normal 2 5 2 4" xfId="1162"/>
    <cellStyle name="normal 2 5 3" xfId="1163"/>
    <cellStyle name="normal 2 5 3 2" xfId="1164"/>
    <cellStyle name="normal 2 5 3 3" xfId="1165"/>
    <cellStyle name="normal 2 5 4" xfId="1166"/>
    <cellStyle name="normal 2 5 5" xfId="1167"/>
    <cellStyle name="normal 2 6" xfId="1168"/>
    <cellStyle name="normal 2 6 2" xfId="1169"/>
    <cellStyle name="normal 2 6 2 2" xfId="1170"/>
    <cellStyle name="normal 2 6 2 2 2" xfId="1171"/>
    <cellStyle name="normal 2 6 2 2 3" xfId="1172"/>
    <cellStyle name="normal 2 6 2 3" xfId="1173"/>
    <cellStyle name="normal 2 6 2 4" xfId="1174"/>
    <cellStyle name="normal 2 6 3" xfId="1175"/>
    <cellStyle name="normal 2 6 3 2" xfId="1176"/>
    <cellStyle name="normal 2 6 3 3" xfId="1177"/>
    <cellStyle name="normal 2 6 4" xfId="1178"/>
    <cellStyle name="normal 2 6 5" xfId="1179"/>
    <cellStyle name="normal 2 7" xfId="1180"/>
    <cellStyle name="normal 2 7 2" xfId="1181"/>
    <cellStyle name="normal 2 7 2 2" xfId="1182"/>
    <cellStyle name="normal 2 7 2 2 2" xfId="1183"/>
    <cellStyle name="normal 2 7 2 2 3" xfId="1184"/>
    <cellStyle name="normal 2 7 2 3" xfId="1185"/>
    <cellStyle name="normal 2 7 2 4" xfId="1186"/>
    <cellStyle name="normal 2 7 3" xfId="1187"/>
    <cellStyle name="normal 2 7 3 2" xfId="1188"/>
    <cellStyle name="normal 2 7 3 3" xfId="1189"/>
    <cellStyle name="normal 2 7 4" xfId="1190"/>
    <cellStyle name="normal 2 7 5" xfId="1191"/>
    <cellStyle name="normal 2 8" xfId="1192"/>
    <cellStyle name="normal 2 8 2" xfId="1193"/>
    <cellStyle name="normal 2 8 2 2" xfId="1194"/>
    <cellStyle name="normal 2 8 2 2 2" xfId="1195"/>
    <cellStyle name="normal 2 8 2 2 2 2" xfId="1196"/>
    <cellStyle name="normal 2 8 2 2 2 3" xfId="1197"/>
    <cellStyle name="normal 2 8 2 2 3" xfId="1198"/>
    <cellStyle name="normal 2 8 2 2 4" xfId="1199"/>
    <cellStyle name="normal 2 8 2 3" xfId="1200"/>
    <cellStyle name="normal 2 8 2 3 2" xfId="1201"/>
    <cellStyle name="normal 2 8 2 3 3" xfId="1202"/>
    <cellStyle name="normal 2 8 2 4" xfId="1203"/>
    <cellStyle name="normal 2 8 2 5" xfId="1204"/>
    <cellStyle name="normal 2 8 3" xfId="1205"/>
    <cellStyle name="normal 2 8 3 2" xfId="1206"/>
    <cellStyle name="normal 2 8 3 2 2" xfId="1207"/>
    <cellStyle name="normal 2 8 3 2 3" xfId="1208"/>
    <cellStyle name="normal 2 8 3 3" xfId="1209"/>
    <cellStyle name="normal 2 8 3 4" xfId="1210"/>
    <cellStyle name="normal 2 8 4" xfId="1211"/>
    <cellStyle name="normal 2 8 4 2" xfId="1212"/>
    <cellStyle name="normal 2 8 4 3" xfId="1213"/>
    <cellStyle name="normal 2 8 5" xfId="1214"/>
    <cellStyle name="normal 2 8 6" xfId="1215"/>
    <cellStyle name="normal 2 8_Расчет  30 млн_Технополис  Коренькова" xfId="1216"/>
    <cellStyle name="normal 2 9" xfId="1217"/>
    <cellStyle name="normal 2 9 2" xfId="1218"/>
    <cellStyle name="normal 2 9 2 2" xfId="1219"/>
    <cellStyle name="normal 2 9 2 2 2" xfId="1220"/>
    <cellStyle name="normal 2 9 2 2 3" xfId="1221"/>
    <cellStyle name="normal 2 9 2 3" xfId="1222"/>
    <cellStyle name="normal 2 9 2 4" xfId="1223"/>
    <cellStyle name="normal 2 9 3" xfId="1224"/>
    <cellStyle name="normal 2 9 3 2" xfId="1225"/>
    <cellStyle name="normal 2 9 3 3" xfId="1226"/>
    <cellStyle name="normal 2 9 4" xfId="1227"/>
    <cellStyle name="normal 2 9 5" xfId="1228"/>
    <cellStyle name="normal 2_Расчет  30 млн_Технополис  Коренькова" xfId="1229"/>
    <cellStyle name="Normal 3" xfId="1230"/>
    <cellStyle name="Normal 3 10" xfId="1231"/>
    <cellStyle name="Normal 3 2" xfId="1232"/>
    <cellStyle name="Normal 3 2 2" xfId="1233"/>
    <cellStyle name="Normal 3 2 2 2" xfId="1234"/>
    <cellStyle name="Normal 3 2 2 2 2" xfId="1235"/>
    <cellStyle name="Normal 3 2 2 2 3" xfId="1236"/>
    <cellStyle name="Normal 3 2 2 3" xfId="1237"/>
    <cellStyle name="Normal 3 2 2 4" xfId="1238"/>
    <cellStyle name="Normal 3 2 3" xfId="1239"/>
    <cellStyle name="Normal 3 2 3 2" xfId="1240"/>
    <cellStyle name="Normal 3 2 3 3" xfId="1241"/>
    <cellStyle name="Normal 3 2 4" xfId="1242"/>
    <cellStyle name="Normal 3 2 5" xfId="1243"/>
    <cellStyle name="Normal 3 3" xfId="1244"/>
    <cellStyle name="Normal 3 3 2" xfId="1245"/>
    <cellStyle name="Normal 3 3 2 2" xfId="1246"/>
    <cellStyle name="Normal 3 3 2 2 2" xfId="1247"/>
    <cellStyle name="Normal 3 3 2 2 3" xfId="1248"/>
    <cellStyle name="Normal 3 3 2 3" xfId="1249"/>
    <cellStyle name="Normal 3 3 2 4" xfId="1250"/>
    <cellStyle name="Normal 3 3 3" xfId="1251"/>
    <cellStyle name="Normal 3 3 3 2" xfId="1252"/>
    <cellStyle name="Normal 3 3 3 3" xfId="1253"/>
    <cellStyle name="Normal 3 3 4" xfId="1254"/>
    <cellStyle name="Normal 3 3 5" xfId="1255"/>
    <cellStyle name="Normal 3 4" xfId="1256"/>
    <cellStyle name="Normal 3 4 2" xfId="1257"/>
    <cellStyle name="Normal 3 4 2 2" xfId="1258"/>
    <cellStyle name="Normal 3 4 2 2 2" xfId="1259"/>
    <cellStyle name="Normal 3 4 2 2 3" xfId="1260"/>
    <cellStyle name="Normal 3 4 2 3" xfId="1261"/>
    <cellStyle name="Normal 3 4 2 4" xfId="1262"/>
    <cellStyle name="Normal 3 4 3" xfId="1263"/>
    <cellStyle name="Normal 3 4 3 2" xfId="1264"/>
    <cellStyle name="Normal 3 4 3 3" xfId="1265"/>
    <cellStyle name="Normal 3 4 4" xfId="1266"/>
    <cellStyle name="Normal 3 4 5" xfId="1267"/>
    <cellStyle name="Normal 3 5" xfId="1268"/>
    <cellStyle name="Normal 3 5 2" xfId="1269"/>
    <cellStyle name="Normal 3 5 2 2" xfId="1270"/>
    <cellStyle name="Normal 3 5 2 2 2" xfId="1271"/>
    <cellStyle name="Normal 3 5 2 2 3" xfId="1272"/>
    <cellStyle name="Normal 3 5 2 3" xfId="1273"/>
    <cellStyle name="Normal 3 5 2 4" xfId="1274"/>
    <cellStyle name="Normal 3 5 3" xfId="1275"/>
    <cellStyle name="Normal 3 5 3 2" xfId="1276"/>
    <cellStyle name="Normal 3 5 3 3" xfId="1277"/>
    <cellStyle name="Normal 3 5 4" xfId="1278"/>
    <cellStyle name="Normal 3 5 5" xfId="1279"/>
    <cellStyle name="Normal 3 6" xfId="1280"/>
    <cellStyle name="Normal 3 6 2" xfId="1281"/>
    <cellStyle name="Normal 3 6 2 2" xfId="1282"/>
    <cellStyle name="Normal 3 6 2 2 2" xfId="1283"/>
    <cellStyle name="Normal 3 6 2 2 3" xfId="1284"/>
    <cellStyle name="Normal 3 6 2 3" xfId="1285"/>
    <cellStyle name="Normal 3 6 2 4" xfId="1286"/>
    <cellStyle name="Normal 3 6 3" xfId="1287"/>
    <cellStyle name="Normal 3 6 3 2" xfId="1288"/>
    <cellStyle name="Normal 3 6 3 3" xfId="1289"/>
    <cellStyle name="Normal 3 6 4" xfId="1290"/>
    <cellStyle name="Normal 3 6 5" xfId="1291"/>
    <cellStyle name="Normal 3 7" xfId="1292"/>
    <cellStyle name="Normal 3 7 2" xfId="1293"/>
    <cellStyle name="Normal 3 7 2 2" xfId="1294"/>
    <cellStyle name="Normal 3 7 2 3" xfId="1295"/>
    <cellStyle name="Normal 3 7 3" xfId="1296"/>
    <cellStyle name="Normal 3 7 4" xfId="1297"/>
    <cellStyle name="Normal 3 8" xfId="1298"/>
    <cellStyle name="Normal 3 8 2" xfId="1299"/>
    <cellStyle name="Normal 3 8 3" xfId="1300"/>
    <cellStyle name="Normal 3 9" xfId="1301"/>
    <cellStyle name="Normal 3_Расчет  30 млн_Технополис  Коренькова" xfId="1302"/>
    <cellStyle name="Normal 4" xfId="1303"/>
    <cellStyle name="Normal 5" xfId="1304"/>
    <cellStyle name="Normal 6" xfId="1305"/>
    <cellStyle name="Normal 6 10" xfId="1306"/>
    <cellStyle name="Normal 6 2" xfId="1307"/>
    <cellStyle name="Normal 6 2 10" xfId="1308"/>
    <cellStyle name="Normal 6 2 10 2" xfId="1309"/>
    <cellStyle name="Normal 6 2 10 2 2" xfId="1310"/>
    <cellStyle name="Normal 6 2 10 2 3" xfId="1311"/>
    <cellStyle name="Normal 6 2 10 3" xfId="1312"/>
    <cellStyle name="Normal 6 2 10 4" xfId="1313"/>
    <cellStyle name="Normal 6 2 11" xfId="1314"/>
    <cellStyle name="Normal 6 2 11 2" xfId="1315"/>
    <cellStyle name="Normal 6 2 11 2 2" xfId="1316"/>
    <cellStyle name="Normal 6 2 11 2 3" xfId="1317"/>
    <cellStyle name="Normal 6 2 11 3" xfId="1318"/>
    <cellStyle name="Normal 6 2 11 4" xfId="1319"/>
    <cellStyle name="Normal 6 2 12" xfId="1320"/>
    <cellStyle name="Normal 6 2 12 2" xfId="1321"/>
    <cellStyle name="Normal 6 2 12 3" xfId="1322"/>
    <cellStyle name="Normal 6 2 13" xfId="1323"/>
    <cellStyle name="Normal 6 2 14" xfId="1324"/>
    <cellStyle name="Normal 6 2 15" xfId="1325"/>
    <cellStyle name="Normal 6 2 16" xfId="1326"/>
    <cellStyle name="Normal 6 2 2" xfId="1327"/>
    <cellStyle name="Normal 6 2 2 10" xfId="1328"/>
    <cellStyle name="Normal 6 2 2 2" xfId="1329"/>
    <cellStyle name="Normal 6 2 2 2 10" xfId="1330"/>
    <cellStyle name="Normal 6 2 2 2 10 2" xfId="1331"/>
    <cellStyle name="Normal 6 2 2 2 10 3" xfId="1332"/>
    <cellStyle name="Normal 6 2 2 2 11" xfId="1333"/>
    <cellStyle name="Normal 6 2 2 2 12" xfId="1334"/>
    <cellStyle name="Normal 6 2 2 2 2" xfId="1335"/>
    <cellStyle name="Normal 6 2 2 2 2 2" xfId="1336"/>
    <cellStyle name="Normal 6 2 2 2 2 2 2" xfId="1337"/>
    <cellStyle name="Normal 6 2 2 2 2 2 3" xfId="1338"/>
    <cellStyle name="Normal 6 2 2 2 2 3" xfId="1339"/>
    <cellStyle name="Normal 6 2 2 2 2 4" xfId="1340"/>
    <cellStyle name="Normal 6 2 2 2 3" xfId="1341"/>
    <cellStyle name="Normal 6 2 2 2 3 2" xfId="1342"/>
    <cellStyle name="Normal 6 2 2 2 3 2 2" xfId="1343"/>
    <cellStyle name="Normal 6 2 2 2 3 2 2 2" xfId="1344"/>
    <cellStyle name="Normal 6 2 2 2 3 2 2 3" xfId="1345"/>
    <cellStyle name="Normal 6 2 2 2 3 2 3" xfId="1346"/>
    <cellStyle name="Normal 6 2 2 2 3 2 4" xfId="1347"/>
    <cellStyle name="Normal 6 2 2 2 3 3" xfId="1348"/>
    <cellStyle name="Normal 6 2 2 2 3 3 2" xfId="1349"/>
    <cellStyle name="Normal 6 2 2 2 3 3 3" xfId="1350"/>
    <cellStyle name="Normal 6 2 2 2 3 4" xfId="1351"/>
    <cellStyle name="Normal 6 2 2 2 3 4 2" xfId="1352"/>
    <cellStyle name="Normal 6 2 2 2 3 4 3" xfId="1353"/>
    <cellStyle name="Normal 6 2 2 2 3 5" xfId="1354"/>
    <cellStyle name="Normal 6 2 2 2 3 6" xfId="1355"/>
    <cellStyle name="Normal 6 2 2 2 4" xfId="1356"/>
    <cellStyle name="Normal 6 2 2 2 4 2" xfId="1357"/>
    <cellStyle name="Normal 6 2 2 2 4 2 2" xfId="1358"/>
    <cellStyle name="Normal 6 2 2 2 4 2 3" xfId="1359"/>
    <cellStyle name="Normal 6 2 2 2 4 3" xfId="1360"/>
    <cellStyle name="Normal 6 2 2 2 4 4" xfId="1361"/>
    <cellStyle name="Normal 6 2 2 2 5" xfId="1362"/>
    <cellStyle name="Normal 6 2 2 2 5 2" xfId="1363"/>
    <cellStyle name="Normal 6 2 2 2 5 2 2" xfId="1364"/>
    <cellStyle name="Normal 6 2 2 2 5 2 3" xfId="1365"/>
    <cellStyle name="Normal 6 2 2 2 5 3" xfId="1366"/>
    <cellStyle name="Normal 6 2 2 2 5 3 2" xfId="1367"/>
    <cellStyle name="Normal 6 2 2 2 5 4" xfId="1368"/>
    <cellStyle name="Normal 6 2 2 2 5 5" xfId="1369"/>
    <cellStyle name="Normal 6 2 2 2 6" xfId="1370"/>
    <cellStyle name="Normal 6 2 2 2 6 2" xfId="1371"/>
    <cellStyle name="Normal 6 2 2 2 6 2 2" xfId="1372"/>
    <cellStyle name="Normal 6 2 2 2 6 2 3" xfId="1373"/>
    <cellStyle name="Normal 6 2 2 2 6 3" xfId="1374"/>
    <cellStyle name="Normal 6 2 2 2 6 4" xfId="1375"/>
    <cellStyle name="Normal 6 2 2 2 7" xfId="1376"/>
    <cellStyle name="Normal 6 2 2 2 7 2" xfId="1377"/>
    <cellStyle name="Normal 6 2 2 2 7 2 2" xfId="1378"/>
    <cellStyle name="Normal 6 2 2 2 7 2 3" xfId="1379"/>
    <cellStyle name="Normal 6 2 2 2 7 3" xfId="1380"/>
    <cellStyle name="Normal 6 2 2 2 7 4" xfId="1381"/>
    <cellStyle name="Normal 6 2 2 2 8" xfId="1382"/>
    <cellStyle name="Normal 6 2 2 2 8 2" xfId="1383"/>
    <cellStyle name="Normal 6 2 2 2 8 3" xfId="1384"/>
    <cellStyle name="Normal 6 2 2 2 9" xfId="1385"/>
    <cellStyle name="Normal 6 2 2 2 9 2" xfId="1386"/>
    <cellStyle name="Normal 6 2 2 2 9 3" xfId="1387"/>
    <cellStyle name="Normal 6 2 2 3" xfId="1388"/>
    <cellStyle name="Normal 6 2 2 3 2" xfId="1389"/>
    <cellStyle name="Normal 6 2 2 3 2 2" xfId="1390"/>
    <cellStyle name="Normal 6 2 2 3 2 3" xfId="1391"/>
    <cellStyle name="Normal 6 2 2 3 3" xfId="1392"/>
    <cellStyle name="Normal 6 2 2 3 4" xfId="1393"/>
    <cellStyle name="Normal 6 2 2 4" xfId="1394"/>
    <cellStyle name="Normal 6 2 2 4 2" xfId="1395"/>
    <cellStyle name="Normal 6 2 2 4 2 2" xfId="1396"/>
    <cellStyle name="Normal 6 2 2 4 2 3" xfId="1397"/>
    <cellStyle name="Normal 6 2 2 4 3" xfId="1398"/>
    <cellStyle name="Normal 6 2 2 4 4" xfId="1399"/>
    <cellStyle name="Normal 6 2 2 5" xfId="1400"/>
    <cellStyle name="Normal 6 2 2 5 2" xfId="1401"/>
    <cellStyle name="Normal 6 2 2 5 2 2" xfId="1402"/>
    <cellStyle name="Normal 6 2 2 5 2 3" xfId="1403"/>
    <cellStyle name="Normal 6 2 2 5 3" xfId="1404"/>
    <cellStyle name="Normal 6 2 2 5 4" xfId="1405"/>
    <cellStyle name="Normal 6 2 2 6" xfId="1406"/>
    <cellStyle name="Normal 6 2 2 6 2" xfId="1407"/>
    <cellStyle name="Normal 6 2 2 6 3" xfId="1408"/>
    <cellStyle name="Normal 6 2 2 7" xfId="1409"/>
    <cellStyle name="Normal 6 2 2 8" xfId="1410"/>
    <cellStyle name="Normal 6 2 2 8 2" xfId="1411"/>
    <cellStyle name="Normal 6 2 2 9" xfId="1412"/>
    <cellStyle name="Normal 6 2 3" xfId="1413"/>
    <cellStyle name="Normal 6 2 3 2" xfId="1414"/>
    <cellStyle name="Normal 6 2 3 2 2" xfId="1415"/>
    <cellStyle name="Normal 6 2 3 2 2 2" xfId="1416"/>
    <cellStyle name="Normal 6 2 3 2 2 2 2" xfId="1417"/>
    <cellStyle name="Normal 6 2 3 2 2 2 2 2" xfId="1418"/>
    <cellStyle name="Normal 6 2 3 2 2 2 2 3" xfId="1419"/>
    <cellStyle name="Normal 6 2 3 2 2 2 3" xfId="1420"/>
    <cellStyle name="Normal 6 2 3 2 2 2 4" xfId="1421"/>
    <cellStyle name="Normal 6 2 3 2 2 3" xfId="1422"/>
    <cellStyle name="Normal 6 2 3 2 2 3 2" xfId="1423"/>
    <cellStyle name="Normal 6 2 3 2 2 3 3" xfId="1424"/>
    <cellStyle name="Normal 6 2 3 2 2 4" xfId="1425"/>
    <cellStyle name="Normal 6 2 3 2 2 5" xfId="1426"/>
    <cellStyle name="Normal 6 2 3 2 3" xfId="1427"/>
    <cellStyle name="Normal 6 2 3 2 3 2" xfId="1428"/>
    <cellStyle name="Normal 6 2 3 2 3 2 2" xfId="1429"/>
    <cellStyle name="Normal 6 2 3 2 3 2 3" xfId="1430"/>
    <cellStyle name="Normal 6 2 3 2 3 3" xfId="1431"/>
    <cellStyle name="Normal 6 2 3 2 3 4" xfId="1432"/>
    <cellStyle name="Normal 6 2 3 2 4" xfId="1433"/>
    <cellStyle name="Normal 6 2 3 2 4 2" xfId="1434"/>
    <cellStyle name="Normal 6 2 3 2 4 3" xfId="1435"/>
    <cellStyle name="Normal 6 2 3 2 5" xfId="1436"/>
    <cellStyle name="Normal 6 2 3 2 6" xfId="1437"/>
    <cellStyle name="Normal 6 2 3 2 7" xfId="1438"/>
    <cellStyle name="Normal 6 2 3 2 8" xfId="1439"/>
    <cellStyle name="Normal 6 2 3 3" xfId="1440"/>
    <cellStyle name="Normal 6 2 3 3 2" xfId="1441"/>
    <cellStyle name="Normal 6 2 3 3 2 2" xfId="1442"/>
    <cellStyle name="Normal 6 2 3 3 2 3" xfId="1443"/>
    <cellStyle name="Normal 6 2 3 3 3" xfId="1444"/>
    <cellStyle name="Normal 6 2 3 3 4" xfId="1445"/>
    <cellStyle name="Normal 6 2 3 4" xfId="1446"/>
    <cellStyle name="Normal 6 2 3 4 2" xfId="1447"/>
    <cellStyle name="Normal 6 2 3 4 3" xfId="1448"/>
    <cellStyle name="Normal 6 2 3 5" xfId="1449"/>
    <cellStyle name="Normal 6 2 3 6" xfId="1450"/>
    <cellStyle name="Normal 6 2 4" xfId="1451"/>
    <cellStyle name="Normal 6 2 4 2" xfId="1452"/>
    <cellStyle name="Normal 6 2 4 2 2" xfId="1453"/>
    <cellStyle name="Normal 6 2 4 2 2 2" xfId="1454"/>
    <cellStyle name="Normal 6 2 4 2 2 2 2" xfId="1455"/>
    <cellStyle name="Normal 6 2 4 2 2 2 2 2" xfId="1456"/>
    <cellStyle name="Normal 6 2 4 2 2 2 2 3" xfId="1457"/>
    <cellStyle name="Normal 6 2 4 2 2 2 3" xfId="1458"/>
    <cellStyle name="Normal 6 2 4 2 2 2 4" xfId="1459"/>
    <cellStyle name="Normal 6 2 4 2 2 3" xfId="1460"/>
    <cellStyle name="Normal 6 2 4 2 2 3 2" xfId="1461"/>
    <cellStyle name="Normal 6 2 4 2 2 3 3" xfId="1462"/>
    <cellStyle name="Normal 6 2 4 2 2 4" xfId="1463"/>
    <cellStyle name="Normal 6 2 4 2 2 5" xfId="1464"/>
    <cellStyle name="Normal 6 2 4 2 2 6" xfId="1465"/>
    <cellStyle name="Normal 6 2 4 2 2 7" xfId="1466"/>
    <cellStyle name="Normal 6 2 4 2 2 8" xfId="1467"/>
    <cellStyle name="Normal 6 2 4 2 3" xfId="1468"/>
    <cellStyle name="Normal 6 2 4 2 3 2" xfId="1469"/>
    <cellStyle name="Normal 6 2 4 2 3 3" xfId="1470"/>
    <cellStyle name="Normal 6 2 4 2 4" xfId="1471"/>
    <cellStyle name="Normal 6 2 4 2 5" xfId="1472"/>
    <cellStyle name="Normal 6 2 4 3" xfId="1473"/>
    <cellStyle name="Normal 6 2 4 3 2" xfId="1474"/>
    <cellStyle name="Normal 6 2 4 3 2 2" xfId="1475"/>
    <cellStyle name="Normal 6 2 4 3 2 3" xfId="1476"/>
    <cellStyle name="Normal 6 2 4 3 3" xfId="1477"/>
    <cellStyle name="Normal 6 2 4 3 4" xfId="1478"/>
    <cellStyle name="Normal 6 2 4 4" xfId="1479"/>
    <cellStyle name="Normal 6 2 4 4 2" xfId="1480"/>
    <cellStyle name="Normal 6 2 4 4 2 2" xfId="1481"/>
    <cellStyle name="Normal 6 2 4 4 2 3" xfId="1482"/>
    <cellStyle name="Normal 6 2 4 4 3" xfId="1483"/>
    <cellStyle name="Normal 6 2 4 4 4" xfId="1484"/>
    <cellStyle name="Normal 6 2 4 5" xfId="1485"/>
    <cellStyle name="Normal 6 2 4 5 2" xfId="1486"/>
    <cellStyle name="Normal 6 2 4 5 3" xfId="1487"/>
    <cellStyle name="Normal 6 2 4 6" xfId="1488"/>
    <cellStyle name="Normal 6 2 4 7" xfId="1489"/>
    <cellStyle name="Normal 6 2 5" xfId="1490"/>
    <cellStyle name="Normal 6 2 5 2" xfId="1491"/>
    <cellStyle name="Normal 6 2 5 2 2" xfId="1492"/>
    <cellStyle name="Normal 6 2 5 2 3" xfId="1493"/>
    <cellStyle name="Normal 6 2 5 3" xfId="1494"/>
    <cellStyle name="Normal 6 2 5 4" xfId="1495"/>
    <cellStyle name="Normal 6 2 6" xfId="1496"/>
    <cellStyle name="Normal 6 2 6 2" xfId="1497"/>
    <cellStyle name="Normal 6 2 6 2 2" xfId="1498"/>
    <cellStyle name="Normal 6 2 6 2 3" xfId="1499"/>
    <cellStyle name="Normal 6 2 6 3" xfId="1500"/>
    <cellStyle name="Normal 6 2 6 4" xfId="1501"/>
    <cellStyle name="Normal 6 2 7" xfId="1502"/>
    <cellStyle name="Normal 6 2 7 2" xfId="1503"/>
    <cellStyle name="Normal 6 2 7 2 2" xfId="1504"/>
    <cellStyle name="Normal 6 2 7 2 3" xfId="1505"/>
    <cellStyle name="Normal 6 2 7 3" xfId="1506"/>
    <cellStyle name="Normal 6 2 7 4" xfId="1507"/>
    <cellStyle name="Normal 6 2 8" xfId="1508"/>
    <cellStyle name="Normal 6 2 8 2" xfId="1509"/>
    <cellStyle name="Normal 6 2 8 2 2" xfId="1510"/>
    <cellStyle name="Normal 6 2 8 2 3" xfId="1511"/>
    <cellStyle name="Normal 6 2 8 3" xfId="1512"/>
    <cellStyle name="Normal 6 2 8 4" xfId="1513"/>
    <cellStyle name="Normal 6 2 9" xfId="1514"/>
    <cellStyle name="Normal 6 2 9 2" xfId="1515"/>
    <cellStyle name="Normal 6 2 9 2 2" xfId="1516"/>
    <cellStyle name="Normal 6 2 9 2 3" xfId="1517"/>
    <cellStyle name="Normal 6 2 9 3" xfId="1518"/>
    <cellStyle name="Normal 6 2 9 4" xfId="1519"/>
    <cellStyle name="Normal 6 2_Расчет  30 млн_Технополис  Коренькова" xfId="1520"/>
    <cellStyle name="Normal 6 3" xfId="1521"/>
    <cellStyle name="Normal 6 3 2" xfId="1522"/>
    <cellStyle name="Normal 6 3 2 2" xfId="1523"/>
    <cellStyle name="Normal 6 3 2 2 2" xfId="1524"/>
    <cellStyle name="Normal 6 3 2 2 3" xfId="1525"/>
    <cellStyle name="Normal 6 3 2 3" xfId="1526"/>
    <cellStyle name="Normal 6 3 2 4" xfId="1527"/>
    <cellStyle name="Normal 6 3 3" xfId="1528"/>
    <cellStyle name="Normal 6 3 3 2" xfId="1529"/>
    <cellStyle name="Normal 6 3 3 3" xfId="1530"/>
    <cellStyle name="Normal 6 3 4" xfId="1531"/>
    <cellStyle name="Normal 6 3 5" xfId="1532"/>
    <cellStyle name="Normal 6 4" xfId="1533"/>
    <cellStyle name="Normal 6 4 2" xfId="1534"/>
    <cellStyle name="Normal 6 4 2 2" xfId="1535"/>
    <cellStyle name="Normal 6 4 2 2 2" xfId="1536"/>
    <cellStyle name="Normal 6 4 2 2 3" xfId="1537"/>
    <cellStyle name="Normal 6 4 2 3" xfId="1538"/>
    <cellStyle name="Normal 6 4 2 4" xfId="1539"/>
    <cellStyle name="Normal 6 4 3" xfId="1540"/>
    <cellStyle name="Normal 6 4 3 2" xfId="1541"/>
    <cellStyle name="Normal 6 4 3 3" xfId="1542"/>
    <cellStyle name="Normal 6 4 4" xfId="1543"/>
    <cellStyle name="Normal 6 4 5" xfId="1544"/>
    <cellStyle name="Normal 6 5" xfId="1545"/>
    <cellStyle name="Normal 6 5 2" xfId="1546"/>
    <cellStyle name="Normal 6 5 2 2" xfId="1547"/>
    <cellStyle name="Normal 6 5 2 2 2" xfId="1548"/>
    <cellStyle name="Normal 6 5 2 2 3" xfId="1549"/>
    <cellStyle name="Normal 6 5 2 3" xfId="1550"/>
    <cellStyle name="Normal 6 5 2 4" xfId="1551"/>
    <cellStyle name="Normal 6 5 3" xfId="1552"/>
    <cellStyle name="Normal 6 5 3 2" xfId="1553"/>
    <cellStyle name="Normal 6 5 3 3" xfId="1554"/>
    <cellStyle name="Normal 6 5 4" xfId="1555"/>
    <cellStyle name="Normal 6 5 5" xfId="1556"/>
    <cellStyle name="Normal 6 6" xfId="1557"/>
    <cellStyle name="Normal 6 6 2" xfId="1558"/>
    <cellStyle name="Normal 6 6 2 2" xfId="1559"/>
    <cellStyle name="Normal 6 6 2 2 2" xfId="1560"/>
    <cellStyle name="Normal 6 6 2 2 3" xfId="1561"/>
    <cellStyle name="Normal 6 6 2 3" xfId="1562"/>
    <cellStyle name="Normal 6 6 2 4" xfId="1563"/>
    <cellStyle name="Normal 6 6 3" xfId="1564"/>
    <cellStyle name="Normal 6 6 3 2" xfId="1565"/>
    <cellStyle name="Normal 6 6 3 3" xfId="1566"/>
    <cellStyle name="Normal 6 6 4" xfId="1567"/>
    <cellStyle name="Normal 6 6 5" xfId="1568"/>
    <cellStyle name="Normal 6 7" xfId="1569"/>
    <cellStyle name="Normal 6 7 2" xfId="1570"/>
    <cellStyle name="Normal 6 7 2 2" xfId="1571"/>
    <cellStyle name="Normal 6 7 2 3" xfId="1572"/>
    <cellStyle name="Normal 6 7 3" xfId="1573"/>
    <cellStyle name="Normal 6 7 4" xfId="1574"/>
    <cellStyle name="Normal 6 8" xfId="1575"/>
    <cellStyle name="Normal 6 8 2" xfId="1576"/>
    <cellStyle name="Normal 6 8 3" xfId="1577"/>
    <cellStyle name="Normal 6 9" xfId="1578"/>
    <cellStyle name="Normal 6_Расчет  30 млн_Технополис  Коренькова" xfId="1579"/>
    <cellStyle name="Normal 7" xfId="1580"/>
    <cellStyle name="normal 8" xfId="1581"/>
    <cellStyle name="normal 9" xfId="1582"/>
    <cellStyle name="Normal_69-00 состав проекта-затраты труда" xfId="1583"/>
    <cellStyle name="normбlnм_laroux" xfId="1584"/>
    <cellStyle name="Note" xfId="1585"/>
    <cellStyle name="Note 2" xfId="1586"/>
    <cellStyle name="Note 2 2" xfId="1587"/>
    <cellStyle name="Note 2 2 2" xfId="1588"/>
    <cellStyle name="Note 2 2 2 2" xfId="19883"/>
    <cellStyle name="Note 2 2 3" xfId="1589"/>
    <cellStyle name="Note 2 2 3 2" xfId="19882"/>
    <cellStyle name="Note 2 2 4" xfId="1590"/>
    <cellStyle name="Note 2 2 4 2" xfId="19881"/>
    <cellStyle name="Note 2 2 5" xfId="1591"/>
    <cellStyle name="Note 2 2 5 2" xfId="19880"/>
    <cellStyle name="Note 2 2 6" xfId="1592"/>
    <cellStyle name="Note 2 2 6 2" xfId="19879"/>
    <cellStyle name="Note 2 2 7" xfId="19884"/>
    <cellStyle name="Note 2 3" xfId="1593"/>
    <cellStyle name="Note 2 3 2" xfId="1594"/>
    <cellStyle name="Note 2 3 2 2" xfId="19877"/>
    <cellStyle name="Note 2 3 3" xfId="19878"/>
    <cellStyle name="Note 2 4" xfId="1595"/>
    <cellStyle name="Note 2 4 2" xfId="1596"/>
    <cellStyle name="Note 2 4 2 2" xfId="19875"/>
    <cellStyle name="Note 2 4 3" xfId="19876"/>
    <cellStyle name="Note 2 5" xfId="1597"/>
    <cellStyle name="Note 2 5 2" xfId="19874"/>
    <cellStyle name="Note 2 6" xfId="1598"/>
    <cellStyle name="Note 2 6 2" xfId="19873"/>
    <cellStyle name="Note 2 7" xfId="1599"/>
    <cellStyle name="Note 2 7 2" xfId="19872"/>
    <cellStyle name="Note 2 8" xfId="1600"/>
    <cellStyle name="Note 2 8 2" xfId="19871"/>
    <cellStyle name="Note 2 9" xfId="19885"/>
    <cellStyle name="Note 3" xfId="1601"/>
    <cellStyle name="Note 3 2" xfId="1602"/>
    <cellStyle name="Note 3 2 2" xfId="1603"/>
    <cellStyle name="Note 3 2 2 2" xfId="19868"/>
    <cellStyle name="Note 3 2 3" xfId="1604"/>
    <cellStyle name="Note 3 2 3 2" xfId="19867"/>
    <cellStyle name="Note 3 2 4" xfId="1605"/>
    <cellStyle name="Note 3 2 4 2" xfId="19866"/>
    <cellStyle name="Note 3 2 5" xfId="1606"/>
    <cellStyle name="Note 3 2 5 2" xfId="19865"/>
    <cellStyle name="Note 3 2 6" xfId="1607"/>
    <cellStyle name="Note 3 2 6 2" xfId="19864"/>
    <cellStyle name="Note 3 2 7" xfId="19869"/>
    <cellStyle name="Note 3 3" xfId="1608"/>
    <cellStyle name="Note 3 3 2" xfId="1609"/>
    <cellStyle name="Note 3 3 2 2" xfId="19862"/>
    <cellStyle name="Note 3 3 3" xfId="19863"/>
    <cellStyle name="Note 3 4" xfId="1610"/>
    <cellStyle name="Note 3 4 2" xfId="1611"/>
    <cellStyle name="Note 3 4 2 2" xfId="19860"/>
    <cellStyle name="Note 3 4 3" xfId="19861"/>
    <cellStyle name="Note 3 5" xfId="1612"/>
    <cellStyle name="Note 3 5 2" xfId="19859"/>
    <cellStyle name="Note 3 6" xfId="1613"/>
    <cellStyle name="Note 3 6 2" xfId="19858"/>
    <cellStyle name="Note 3 7" xfId="1614"/>
    <cellStyle name="Note 3 7 2" xfId="19857"/>
    <cellStyle name="Note 3 8" xfId="1615"/>
    <cellStyle name="Note 3 8 2" xfId="19856"/>
    <cellStyle name="Note 3 9" xfId="19870"/>
    <cellStyle name="Note 4" xfId="1616"/>
    <cellStyle name="Note 4 2" xfId="1617"/>
    <cellStyle name="Note 4 2 2" xfId="1618"/>
    <cellStyle name="Note 4 2 2 2" xfId="19853"/>
    <cellStyle name="Note 4 2 3" xfId="1619"/>
    <cellStyle name="Note 4 2 3 2" xfId="19852"/>
    <cellStyle name="Note 4 2 4" xfId="1620"/>
    <cellStyle name="Note 4 2 4 2" xfId="19851"/>
    <cellStyle name="Note 4 2 5" xfId="1621"/>
    <cellStyle name="Note 4 2 5 2" xfId="19850"/>
    <cellStyle name="Note 4 2 6" xfId="1622"/>
    <cellStyle name="Note 4 2 6 2" xfId="19849"/>
    <cellStyle name="Note 4 2 7" xfId="19854"/>
    <cellStyle name="Note 4 3" xfId="1623"/>
    <cellStyle name="Note 4 3 2" xfId="1624"/>
    <cellStyle name="Note 4 3 2 2" xfId="19847"/>
    <cellStyle name="Note 4 3 3" xfId="19848"/>
    <cellStyle name="Note 4 4" xfId="1625"/>
    <cellStyle name="Note 4 4 2" xfId="1626"/>
    <cellStyle name="Note 4 4 2 2" xfId="19845"/>
    <cellStyle name="Note 4 4 3" xfId="19846"/>
    <cellStyle name="Note 4 5" xfId="1627"/>
    <cellStyle name="Note 4 5 2" xfId="19844"/>
    <cellStyle name="Note 4 6" xfId="1628"/>
    <cellStyle name="Note 4 6 2" xfId="19843"/>
    <cellStyle name="Note 4 7" xfId="1629"/>
    <cellStyle name="Note 4 7 2" xfId="19842"/>
    <cellStyle name="Note 4 8" xfId="1630"/>
    <cellStyle name="Note 4 8 2" xfId="19841"/>
    <cellStyle name="Note 4 9" xfId="19855"/>
    <cellStyle name="Note 5" xfId="1631"/>
    <cellStyle name="Note 5 2" xfId="1632"/>
    <cellStyle name="Note 5 2 2" xfId="1633"/>
    <cellStyle name="Note 5 2 2 2" xfId="19838"/>
    <cellStyle name="Note 5 2 3" xfId="1634"/>
    <cellStyle name="Note 5 2 3 2" xfId="19837"/>
    <cellStyle name="Note 5 2 4" xfId="1635"/>
    <cellStyle name="Note 5 2 4 2" xfId="19836"/>
    <cellStyle name="Note 5 2 5" xfId="1636"/>
    <cellStyle name="Note 5 2 5 2" xfId="19835"/>
    <cellStyle name="Note 5 2 6" xfId="1637"/>
    <cellStyle name="Note 5 2 6 2" xfId="19834"/>
    <cellStyle name="Note 5 2 7" xfId="19839"/>
    <cellStyle name="Note 5 3" xfId="1638"/>
    <cellStyle name="Note 5 3 2" xfId="1639"/>
    <cellStyle name="Note 5 3 2 2" xfId="19832"/>
    <cellStyle name="Note 5 3 3" xfId="19833"/>
    <cellStyle name="Note 5 4" xfId="1640"/>
    <cellStyle name="Note 5 4 2" xfId="1641"/>
    <cellStyle name="Note 5 4 2 2" xfId="19830"/>
    <cellStyle name="Note 5 4 3" xfId="19831"/>
    <cellStyle name="Note 5 5" xfId="1642"/>
    <cellStyle name="Note 5 5 2" xfId="19829"/>
    <cellStyle name="Note 5 6" xfId="1643"/>
    <cellStyle name="Note 5 6 2" xfId="19828"/>
    <cellStyle name="Note 5 7" xfId="1644"/>
    <cellStyle name="Note 5 7 2" xfId="19827"/>
    <cellStyle name="Note 5 8" xfId="1645"/>
    <cellStyle name="Note 5 8 2" xfId="19826"/>
    <cellStyle name="Note 5 9" xfId="19840"/>
    <cellStyle name="Note 6" xfId="1646"/>
    <cellStyle name="Note 6 2" xfId="1647"/>
    <cellStyle name="Note 6 2 2" xfId="1648"/>
    <cellStyle name="Note 6 2 2 2" xfId="19823"/>
    <cellStyle name="Note 6 2 3" xfId="1649"/>
    <cellStyle name="Note 6 2 3 2" xfId="19822"/>
    <cellStyle name="Note 6 2 4" xfId="1650"/>
    <cellStyle name="Note 6 2 4 2" xfId="19821"/>
    <cellStyle name="Note 6 2 5" xfId="1651"/>
    <cellStyle name="Note 6 2 5 2" xfId="19820"/>
    <cellStyle name="Note 6 2 6" xfId="1652"/>
    <cellStyle name="Note 6 2 6 2" xfId="19819"/>
    <cellStyle name="Note 6 2 7" xfId="19824"/>
    <cellStyle name="Note 6 3" xfId="1653"/>
    <cellStyle name="Note 6 3 2" xfId="1654"/>
    <cellStyle name="Note 6 3 2 2" xfId="19817"/>
    <cellStyle name="Note 6 3 3" xfId="19818"/>
    <cellStyle name="Note 6 4" xfId="1655"/>
    <cellStyle name="Note 6 4 2" xfId="1656"/>
    <cellStyle name="Note 6 4 2 2" xfId="19815"/>
    <cellStyle name="Note 6 4 3" xfId="19816"/>
    <cellStyle name="Note 6 5" xfId="1657"/>
    <cellStyle name="Note 6 5 2" xfId="19814"/>
    <cellStyle name="Note 6 6" xfId="1658"/>
    <cellStyle name="Note 6 6 2" xfId="19813"/>
    <cellStyle name="Note 6 7" xfId="1659"/>
    <cellStyle name="Note 6 7 2" xfId="19812"/>
    <cellStyle name="Note 6 8" xfId="1660"/>
    <cellStyle name="Note 6 8 2" xfId="19811"/>
    <cellStyle name="Note 6 9" xfId="19825"/>
    <cellStyle name="Oeiainiaue [0]_?anoiau" xfId="1661"/>
    <cellStyle name="Oeiainiaue_?anoiau" xfId="1662"/>
    <cellStyle name="Option" xfId="1663"/>
    <cellStyle name="OptionHeading" xfId="1664"/>
    <cellStyle name="Ouny?e [0]_?anoiau" xfId="1665"/>
    <cellStyle name="Ouny?e_?anoiau" xfId="1666"/>
    <cellStyle name="Output" xfId="1667"/>
    <cellStyle name="Output 10" xfId="19810"/>
    <cellStyle name="Output 2" xfId="1668"/>
    <cellStyle name="Output 2 2" xfId="1669"/>
    <cellStyle name="Output 2 2 2" xfId="1670"/>
    <cellStyle name="Output 2 2 2 2" xfId="19807"/>
    <cellStyle name="Output 2 2 3" xfId="1671"/>
    <cellStyle name="Output 2 2 3 2" xfId="19806"/>
    <cellStyle name="Output 2 2 4" xfId="1672"/>
    <cellStyle name="Output 2 2 4 2" xfId="19805"/>
    <cellStyle name="Output 2 2 5" xfId="1673"/>
    <cellStyle name="Output 2 2 5 2" xfId="19804"/>
    <cellStyle name="Output 2 2 6" xfId="1674"/>
    <cellStyle name="Output 2 2 6 2" xfId="19803"/>
    <cellStyle name="Output 2 2 7" xfId="19808"/>
    <cellStyle name="Output 2 3" xfId="1675"/>
    <cellStyle name="Output 2 3 2" xfId="1676"/>
    <cellStyle name="Output 2 3 2 2" xfId="19801"/>
    <cellStyle name="Output 2 3 3" xfId="19802"/>
    <cellStyle name="Output 2 4" xfId="1677"/>
    <cellStyle name="Output 2 4 2" xfId="1678"/>
    <cellStyle name="Output 2 4 2 2" xfId="19799"/>
    <cellStyle name="Output 2 4 3" xfId="19800"/>
    <cellStyle name="Output 2 5" xfId="1679"/>
    <cellStyle name="Output 2 5 2" xfId="19798"/>
    <cellStyle name="Output 2 6" xfId="1680"/>
    <cellStyle name="Output 2 6 2" xfId="19797"/>
    <cellStyle name="Output 2 7" xfId="1681"/>
    <cellStyle name="Output 2 7 2" xfId="19796"/>
    <cellStyle name="Output 2 8" xfId="1682"/>
    <cellStyle name="Output 2 8 2" xfId="19795"/>
    <cellStyle name="Output 2 9" xfId="19809"/>
    <cellStyle name="Output 3" xfId="1683"/>
    <cellStyle name="Output 3 2" xfId="1684"/>
    <cellStyle name="Output 3 2 2" xfId="19793"/>
    <cellStyle name="Output 3 3" xfId="1685"/>
    <cellStyle name="Output 3 3 2" xfId="19792"/>
    <cellStyle name="Output 3 4" xfId="1686"/>
    <cellStyle name="Output 3 4 2" xfId="19791"/>
    <cellStyle name="Output 3 5" xfId="1687"/>
    <cellStyle name="Output 3 5 2" xfId="19790"/>
    <cellStyle name="Output 3 6" xfId="1688"/>
    <cellStyle name="Output 3 6 2" xfId="19789"/>
    <cellStyle name="Output 3 7" xfId="19794"/>
    <cellStyle name="Output 4" xfId="1689"/>
    <cellStyle name="Output 4 2" xfId="1690"/>
    <cellStyle name="Output 4 2 2" xfId="19787"/>
    <cellStyle name="Output 4 3" xfId="19788"/>
    <cellStyle name="Output 5" xfId="1691"/>
    <cellStyle name="Output 5 2" xfId="1692"/>
    <cellStyle name="Output 5 2 2" xfId="19785"/>
    <cellStyle name="Output 5 3" xfId="19786"/>
    <cellStyle name="Output 6" xfId="1693"/>
    <cellStyle name="Output 6 2" xfId="19784"/>
    <cellStyle name="Output 7" xfId="1694"/>
    <cellStyle name="Output 7 2" xfId="19783"/>
    <cellStyle name="Output 8" xfId="1695"/>
    <cellStyle name="Output 8 2" xfId="19782"/>
    <cellStyle name="Output 9" xfId="1696"/>
    <cellStyle name="Output 9 2" xfId="19781"/>
    <cellStyle name="Override" xfId="1697"/>
    <cellStyle name="Paaotsikko" xfId="1698"/>
    <cellStyle name="PageHeading" xfId="1699"/>
    <cellStyle name="Percent (0.0%)" xfId="1700"/>
    <cellStyle name="Percent [0]" xfId="1701"/>
    <cellStyle name="Percent [00]" xfId="1702"/>
    <cellStyle name="Percent 2" xfId="1703"/>
    <cellStyle name="Percent 3" xfId="1704"/>
    <cellStyle name="Percent_#6 Temps &amp; Contractors" xfId="1705"/>
    <cellStyle name="PrePop Currency (0)" xfId="1706"/>
    <cellStyle name="PrePop Currency (2)" xfId="1707"/>
    <cellStyle name="PrePop Units (0)" xfId="1708"/>
    <cellStyle name="PrePop Units (1)" xfId="1709"/>
    <cellStyle name="PrePop Units (2)" xfId="1710"/>
    <cellStyle name="Price" xfId="1711"/>
    <cellStyle name="Puslapis1" xfId="1712"/>
    <cellStyle name="Puslapis2" xfId="1713"/>
    <cellStyle name="Pддotsikko" xfId="1714"/>
    <cellStyle name="QTitle" xfId="1715"/>
    <cellStyle name="QTitle 2" xfId="1716"/>
    <cellStyle name="QTitle 2 2" xfId="1717"/>
    <cellStyle name="QTitle 2 2 2" xfId="1718"/>
    <cellStyle name="QTitle 2 2 2 2" xfId="1719"/>
    <cellStyle name="QTitle 2 2 3" xfId="1720"/>
    <cellStyle name="QTitle 2 2 3 2" xfId="1721"/>
    <cellStyle name="QTitle 2 2 4" xfId="1722"/>
    <cellStyle name="QTitle 2 2 5" xfId="1723"/>
    <cellStyle name="QTitle 2 2 6" xfId="1724"/>
    <cellStyle name="QTitle 2 2 7" xfId="1725"/>
    <cellStyle name="QTitle 2 3" xfId="1726"/>
    <cellStyle name="QTitle 2 3 2" xfId="1727"/>
    <cellStyle name="QTitle 2 4" xfId="1728"/>
    <cellStyle name="QTitle 3" xfId="1729"/>
    <cellStyle name="QTitle 3 2" xfId="1730"/>
    <cellStyle name="QTitle 3 2 2" xfId="1731"/>
    <cellStyle name="QTitle 3 3" xfId="1732"/>
    <cellStyle name="QTitle 3 3 2" xfId="1733"/>
    <cellStyle name="QTitle 3 4" xfId="1734"/>
    <cellStyle name="QTitle 3 5" xfId="1735"/>
    <cellStyle name="QTitle 3 6" xfId="1736"/>
    <cellStyle name="QTitle 3 7" xfId="1737"/>
    <cellStyle name="QTitle 4" xfId="1738"/>
    <cellStyle name="QTitle 4 2" xfId="1739"/>
    <cellStyle name="QTitle 5" xfId="1740"/>
    <cellStyle name="S0" xfId="1741"/>
    <cellStyle name="S1" xfId="1742"/>
    <cellStyle name="S10" xfId="1743"/>
    <cellStyle name="S11" xfId="1744"/>
    <cellStyle name="S12" xfId="1745"/>
    <cellStyle name="S13" xfId="1746"/>
    <cellStyle name="S14" xfId="1747"/>
    <cellStyle name="S15" xfId="1748"/>
    <cellStyle name="S16" xfId="1749"/>
    <cellStyle name="S17" xfId="1750"/>
    <cellStyle name="S18" xfId="1751"/>
    <cellStyle name="S19" xfId="1752"/>
    <cellStyle name="S2" xfId="1753"/>
    <cellStyle name="S20" xfId="1754"/>
    <cellStyle name="S21" xfId="1755"/>
    <cellStyle name="S22" xfId="1756"/>
    <cellStyle name="S23" xfId="1757"/>
    <cellStyle name="S24" xfId="1758"/>
    <cellStyle name="S25" xfId="1759"/>
    <cellStyle name="S26" xfId="1760"/>
    <cellStyle name="S27" xfId="1761"/>
    <cellStyle name="S28" xfId="1762"/>
    <cellStyle name="S29" xfId="1763"/>
    <cellStyle name="S3" xfId="1764"/>
    <cellStyle name="S30" xfId="1765"/>
    <cellStyle name="S31" xfId="1766"/>
    <cellStyle name="S32" xfId="1767"/>
    <cellStyle name="S33" xfId="1768"/>
    <cellStyle name="S34" xfId="1769"/>
    <cellStyle name="S35" xfId="1770"/>
    <cellStyle name="S36" xfId="1771"/>
    <cellStyle name="S37" xfId="1772"/>
    <cellStyle name="S38" xfId="1773"/>
    <cellStyle name="S39" xfId="1774"/>
    <cellStyle name="S4" xfId="1775"/>
    <cellStyle name="S40" xfId="1776"/>
    <cellStyle name="S41" xfId="1777"/>
    <cellStyle name="S42" xfId="1778"/>
    <cellStyle name="S43" xfId="1779"/>
    <cellStyle name="S44" xfId="1780"/>
    <cellStyle name="S45" xfId="1781"/>
    <cellStyle name="S46" xfId="1782"/>
    <cellStyle name="S47" xfId="1783"/>
    <cellStyle name="S48" xfId="1784"/>
    <cellStyle name="S49" xfId="1785"/>
    <cellStyle name="S5" xfId="1786"/>
    <cellStyle name="S6" xfId="1787"/>
    <cellStyle name="S7" xfId="1788"/>
    <cellStyle name="S8" xfId="1789"/>
    <cellStyle name="S9" xfId="1790"/>
    <cellStyle name="SAPBEXstdItem" xfId="1791"/>
    <cellStyle name="SAPBEXstdItem 2" xfId="19780"/>
    <cellStyle name="Straipsnis1" xfId="1792"/>
    <cellStyle name="Straipsnis4" xfId="1793"/>
    <cellStyle name="TableStyleLight1" xfId="1794"/>
    <cellStyle name="TableStyleLight1 2" xfId="1795"/>
    <cellStyle name="TableStyleLight1 3" xfId="1796"/>
    <cellStyle name="TableStyleLight1 4" xfId="1797"/>
    <cellStyle name="Text Indent A" xfId="1798"/>
    <cellStyle name="Text Indent B" xfId="1799"/>
    <cellStyle name="Text Indent C" xfId="1800"/>
    <cellStyle name="Title" xfId="1801"/>
    <cellStyle name="Total" xfId="1802"/>
    <cellStyle name="Total 10" xfId="1803"/>
    <cellStyle name="Total 10 2" xfId="19778"/>
    <cellStyle name="Total 11" xfId="19779"/>
    <cellStyle name="Total 2" xfId="1804"/>
    <cellStyle name="Total 2 10" xfId="19777"/>
    <cellStyle name="Total 2 2" xfId="1805"/>
    <cellStyle name="Total 2 2 2" xfId="1806"/>
    <cellStyle name="Total 2 2 2 2" xfId="19775"/>
    <cellStyle name="Total 2 2 3" xfId="19776"/>
    <cellStyle name="Total 2 3" xfId="1807"/>
    <cellStyle name="Total 2 3 2" xfId="1808"/>
    <cellStyle name="Total 2 3 2 2" xfId="19773"/>
    <cellStyle name="Total 2 3 3" xfId="19774"/>
    <cellStyle name="Total 2 4" xfId="1809"/>
    <cellStyle name="Total 2 4 2" xfId="1810"/>
    <cellStyle name="Total 2 4 2 2" xfId="19771"/>
    <cellStyle name="Total 2 4 3" xfId="19772"/>
    <cellStyle name="Total 2 5" xfId="1811"/>
    <cellStyle name="Total 2 5 2" xfId="19770"/>
    <cellStyle name="Total 2 6" xfId="1812"/>
    <cellStyle name="Total 2 6 2" xfId="19769"/>
    <cellStyle name="Total 2 7" xfId="1813"/>
    <cellStyle name="Total 2 7 2" xfId="19768"/>
    <cellStyle name="Total 2 8" xfId="1814"/>
    <cellStyle name="Total 2 8 2" xfId="19767"/>
    <cellStyle name="Total 2 9" xfId="1815"/>
    <cellStyle name="Total 2 9 2" xfId="19766"/>
    <cellStyle name="Total 3" xfId="1816"/>
    <cellStyle name="Total 3 2" xfId="1817"/>
    <cellStyle name="Total 3 2 2" xfId="19764"/>
    <cellStyle name="Total 3 3" xfId="19765"/>
    <cellStyle name="Total 4" xfId="1818"/>
    <cellStyle name="Total 4 2" xfId="1819"/>
    <cellStyle name="Total 4 2 2" xfId="19762"/>
    <cellStyle name="Total 4 3" xfId="19763"/>
    <cellStyle name="Total 5" xfId="1820"/>
    <cellStyle name="Total 5 2" xfId="1821"/>
    <cellStyle name="Total 5 2 2" xfId="19760"/>
    <cellStyle name="Total 5 3" xfId="19761"/>
    <cellStyle name="Total 6" xfId="1822"/>
    <cellStyle name="Total 6 2" xfId="19759"/>
    <cellStyle name="Total 7" xfId="1823"/>
    <cellStyle name="Total 7 2" xfId="19758"/>
    <cellStyle name="Total 8" xfId="1824"/>
    <cellStyle name="Total 8 2" xfId="19757"/>
    <cellStyle name="Total 9" xfId="1825"/>
    <cellStyle name="Total 9 2" xfId="19756"/>
    <cellStyle name="Unit" xfId="1826"/>
    <cellStyle name="Valeurs dans tableau" xfId="1827"/>
    <cellStyle name="Valeurs dans tableau 2" xfId="1828"/>
    <cellStyle name="Valeurs dans tableau 2 2" xfId="1829"/>
    <cellStyle name="Valeurs dans tableau 2 2 2" xfId="1830"/>
    <cellStyle name="Valeurs dans tableau 2 2 2 2" xfId="1831"/>
    <cellStyle name="Valeurs dans tableau 2 2 3" xfId="1832"/>
    <cellStyle name="Valeurs dans tableau 2 2 3 2" xfId="1833"/>
    <cellStyle name="Valeurs dans tableau 2 2 4" xfId="1834"/>
    <cellStyle name="Valeurs dans tableau 2 2 5" xfId="1835"/>
    <cellStyle name="Valeurs dans tableau 2 2 6" xfId="1836"/>
    <cellStyle name="Valeurs dans tableau 2 2 7" xfId="1837"/>
    <cellStyle name="Valeurs dans tableau 2 3" xfId="1838"/>
    <cellStyle name="Valeurs dans tableau 2 3 2" xfId="1839"/>
    <cellStyle name="Valeurs dans tableau 2 4" xfId="1840"/>
    <cellStyle name="Valeurs dans tableau 3" xfId="1841"/>
    <cellStyle name="Valeurs dans tableau 3 2" xfId="1842"/>
    <cellStyle name="Valeurs dans tableau 3 2 2" xfId="1843"/>
    <cellStyle name="Valeurs dans tableau 3 3" xfId="1844"/>
    <cellStyle name="Valeurs dans tableau 3 3 2" xfId="1845"/>
    <cellStyle name="Valeurs dans tableau 3 4" xfId="1846"/>
    <cellStyle name="Valeurs dans tableau 3 5" xfId="1847"/>
    <cellStyle name="Valeurs dans tableau 3 6" xfId="1848"/>
    <cellStyle name="Valeurs dans tableau 3 7" xfId="1849"/>
    <cellStyle name="Valeurs dans tableau 4" xfId="1850"/>
    <cellStyle name="Valeurs dans tableau 4 2" xfId="1851"/>
    <cellStyle name="Valeurs dans tableau 5" xfId="1852"/>
    <cellStyle name="Valiotsikko" xfId="1853"/>
    <cellStyle name="Vertical" xfId="1854"/>
    <cellStyle name="Vдliotsikko" xfId="1855"/>
    <cellStyle name="Warning Text" xfId="1856"/>
    <cellStyle name="Акцент1 2" xfId="1857"/>
    <cellStyle name="Акцент1 2 2" xfId="1858"/>
    <cellStyle name="Акцент1 3" xfId="1859"/>
    <cellStyle name="Акцент1 3 2" xfId="1860"/>
    <cellStyle name="Акцент2 2" xfId="1861"/>
    <cellStyle name="Акцент2 2 2" xfId="1862"/>
    <cellStyle name="Акцент2 3" xfId="1863"/>
    <cellStyle name="Акцент2 3 2" xfId="1864"/>
    <cellStyle name="Акцент3 2" xfId="1865"/>
    <cellStyle name="Акцент3 2 2" xfId="1866"/>
    <cellStyle name="Акцент3 3" xfId="1867"/>
    <cellStyle name="Акцент3 3 2" xfId="1868"/>
    <cellStyle name="Акцент4 2" xfId="1869"/>
    <cellStyle name="Акцент4 2 2" xfId="1870"/>
    <cellStyle name="Акцент4 3" xfId="1871"/>
    <cellStyle name="Акцент4 3 2" xfId="1872"/>
    <cellStyle name="Акцент5 2" xfId="1873"/>
    <cellStyle name="Акцент5 2 2" xfId="1874"/>
    <cellStyle name="Акцент5 3" xfId="1875"/>
    <cellStyle name="Акцент5 3 2" xfId="1876"/>
    <cellStyle name="Акцент6 2" xfId="1877"/>
    <cellStyle name="Акцент6 2 2" xfId="1878"/>
    <cellStyle name="Акцент6 3" xfId="1879"/>
    <cellStyle name="Акцент6 3 2" xfId="1880"/>
    <cellStyle name="Беззащитный" xfId="1881"/>
    <cellStyle name="Беззащитный 2" xfId="1882"/>
    <cellStyle name="Беззащитный 2 2" xfId="1883"/>
    <cellStyle name="Беззащитный 2 2 2" xfId="1884"/>
    <cellStyle name="Беззащитный 2 2 3" xfId="1885"/>
    <cellStyle name="Беззащитный 2 2 4" xfId="1886"/>
    <cellStyle name="Беззащитный 2 3" xfId="1887"/>
    <cellStyle name="Беззащитный 2 4" xfId="1888"/>
    <cellStyle name="Беззащитный 2 5" xfId="1889"/>
    <cellStyle name="Беззащитный 2 6" xfId="1890"/>
    <cellStyle name="Беззащитный 3" xfId="1891"/>
    <cellStyle name="Беззащитный 3 2" xfId="1892"/>
    <cellStyle name="Беззащитный 3 3" xfId="1893"/>
    <cellStyle name="Беззащитный 3 4" xfId="1894"/>
    <cellStyle name="Ввод  2" xfId="1895"/>
    <cellStyle name="Ввод  2 2" xfId="1896"/>
    <cellStyle name="Ввод  2 2 2" xfId="1897"/>
    <cellStyle name="Ввод  2 2 2 10" xfId="19753"/>
    <cellStyle name="Ввод  2 2 2 2" xfId="1898"/>
    <cellStyle name="Ввод  2 2 2 2 2" xfId="1899"/>
    <cellStyle name="Ввод  2 2 2 2 2 2" xfId="19751"/>
    <cellStyle name="Ввод  2 2 2 2 3" xfId="19752"/>
    <cellStyle name="Ввод  2 2 2 3" xfId="1900"/>
    <cellStyle name="Ввод  2 2 2 3 2" xfId="1901"/>
    <cellStyle name="Ввод  2 2 2 3 2 2" xfId="19749"/>
    <cellStyle name="Ввод  2 2 2 3 3" xfId="19750"/>
    <cellStyle name="Ввод  2 2 2 4" xfId="1902"/>
    <cellStyle name="Ввод  2 2 2 4 2" xfId="1903"/>
    <cellStyle name="Ввод  2 2 2 4 2 2" xfId="19747"/>
    <cellStyle name="Ввод  2 2 2 4 3" xfId="19748"/>
    <cellStyle name="Ввод  2 2 2 5" xfId="1904"/>
    <cellStyle name="Ввод  2 2 2 5 2" xfId="19746"/>
    <cellStyle name="Ввод  2 2 2 6" xfId="1905"/>
    <cellStyle name="Ввод  2 2 2 6 2" xfId="19745"/>
    <cellStyle name="Ввод  2 2 2 7" xfId="1906"/>
    <cellStyle name="Ввод  2 2 2 7 2" xfId="19744"/>
    <cellStyle name="Ввод  2 2 2 8" xfId="1907"/>
    <cellStyle name="Ввод  2 2 2 8 2" xfId="19743"/>
    <cellStyle name="Ввод  2 2 2 9" xfId="1908"/>
    <cellStyle name="Ввод  2 2 2 9 2" xfId="19742"/>
    <cellStyle name="Ввод  2 2 3" xfId="1909"/>
    <cellStyle name="Ввод  2 2 3 2" xfId="1910"/>
    <cellStyle name="Ввод  2 2 3 2 2" xfId="19740"/>
    <cellStyle name="Ввод  2 2 3 3" xfId="19741"/>
    <cellStyle name="Ввод  2 2 4" xfId="1911"/>
    <cellStyle name="Ввод  2 2 4 2" xfId="1912"/>
    <cellStyle name="Ввод  2 2 4 2 2" xfId="19738"/>
    <cellStyle name="Ввод  2 2 4 3" xfId="19739"/>
    <cellStyle name="Ввод  2 2 5" xfId="1913"/>
    <cellStyle name="Ввод  2 2 5 2" xfId="19737"/>
    <cellStyle name="Ввод  2 2 6" xfId="1914"/>
    <cellStyle name="Ввод  2 2 6 2" xfId="19736"/>
    <cellStyle name="Ввод  2 2 7" xfId="19754"/>
    <cellStyle name="Ввод  2 3" xfId="1915"/>
    <cellStyle name="Ввод  2 3 10" xfId="19735"/>
    <cellStyle name="Ввод  2 3 2" xfId="1916"/>
    <cellStyle name="Ввод  2 3 2 2" xfId="1917"/>
    <cellStyle name="Ввод  2 3 2 2 2" xfId="19733"/>
    <cellStyle name="Ввод  2 3 2 3" xfId="19734"/>
    <cellStyle name="Ввод  2 3 3" xfId="1918"/>
    <cellStyle name="Ввод  2 3 3 2" xfId="1919"/>
    <cellStyle name="Ввод  2 3 3 2 2" xfId="19731"/>
    <cellStyle name="Ввод  2 3 3 3" xfId="19732"/>
    <cellStyle name="Ввод  2 3 4" xfId="1920"/>
    <cellStyle name="Ввод  2 3 4 2" xfId="1921"/>
    <cellStyle name="Ввод  2 3 4 2 2" xfId="19729"/>
    <cellStyle name="Ввод  2 3 4 3" xfId="19730"/>
    <cellStyle name="Ввод  2 3 5" xfId="1922"/>
    <cellStyle name="Ввод  2 3 5 2" xfId="19728"/>
    <cellStyle name="Ввод  2 3 6" xfId="1923"/>
    <cellStyle name="Ввод  2 3 6 2" xfId="19727"/>
    <cellStyle name="Ввод  2 3 7" xfId="1924"/>
    <cellStyle name="Ввод  2 3 7 2" xfId="19726"/>
    <cellStyle name="Ввод  2 3 8" xfId="1925"/>
    <cellStyle name="Ввод  2 3 8 2" xfId="19725"/>
    <cellStyle name="Ввод  2 3 9" xfId="1926"/>
    <cellStyle name="Ввод  2 3 9 2" xfId="19724"/>
    <cellStyle name="Ввод  2 4" xfId="1927"/>
    <cellStyle name="Ввод  2 4 2" xfId="1928"/>
    <cellStyle name="Ввод  2 4 2 2" xfId="19722"/>
    <cellStyle name="Ввод  2 4 3" xfId="19723"/>
    <cellStyle name="Ввод  2 5" xfId="1929"/>
    <cellStyle name="Ввод  2 5 2" xfId="1930"/>
    <cellStyle name="Ввод  2 5 2 2" xfId="19720"/>
    <cellStyle name="Ввод  2 5 3" xfId="19721"/>
    <cellStyle name="Ввод  2 6" xfId="1931"/>
    <cellStyle name="Ввод  2 6 2" xfId="19719"/>
    <cellStyle name="Ввод  2 7" xfId="1932"/>
    <cellStyle name="Ввод  2 7 2" xfId="19718"/>
    <cellStyle name="Ввод  2 8" xfId="19755"/>
    <cellStyle name="Ввод  3" xfId="1933"/>
    <cellStyle name="Ввод  3 2" xfId="1934"/>
    <cellStyle name="Ввод  3 2 2" xfId="1935"/>
    <cellStyle name="Ввод  3 2 2 2" xfId="19715"/>
    <cellStyle name="Ввод  3 2 3" xfId="19716"/>
    <cellStyle name="Ввод  3 3" xfId="1936"/>
    <cellStyle name="Ввод  3 3 2" xfId="1937"/>
    <cellStyle name="Ввод  3 3 2 2" xfId="19713"/>
    <cellStyle name="Ввод  3 3 3" xfId="19714"/>
    <cellStyle name="Ввод  3 4" xfId="1938"/>
    <cellStyle name="Ввод  3 4 2" xfId="19712"/>
    <cellStyle name="Ввод  3 5" xfId="1939"/>
    <cellStyle name="Ввод  3 5 2" xfId="19711"/>
    <cellStyle name="Ввод  3 6" xfId="1940"/>
    <cellStyle name="Ввод  3 6 2" xfId="19710"/>
    <cellStyle name="Ввод  3 7" xfId="1941"/>
    <cellStyle name="Ввод  3 7 2" xfId="19709"/>
    <cellStyle name="Ввод  3 8" xfId="1942"/>
    <cellStyle name="Ввод  3 8 2" xfId="19708"/>
    <cellStyle name="Ввод  3 9" xfId="19717"/>
    <cellStyle name="Вывод 2" xfId="1943"/>
    <cellStyle name="Вывод 2 2" xfId="1944"/>
    <cellStyle name="Вывод 2 2 2" xfId="1945"/>
    <cellStyle name="Вывод 2 2 2 10" xfId="19705"/>
    <cellStyle name="Вывод 2 2 2 2" xfId="1946"/>
    <cellStyle name="Вывод 2 2 2 2 2" xfId="1947"/>
    <cellStyle name="Вывод 2 2 2 2 2 2" xfId="19703"/>
    <cellStyle name="Вывод 2 2 2 2 3" xfId="19704"/>
    <cellStyle name="Вывод 2 2 2 3" xfId="1948"/>
    <cellStyle name="Вывод 2 2 2 3 2" xfId="1949"/>
    <cellStyle name="Вывод 2 2 2 3 2 2" xfId="19701"/>
    <cellStyle name="Вывод 2 2 2 3 3" xfId="19702"/>
    <cellStyle name="Вывод 2 2 2 4" xfId="1950"/>
    <cellStyle name="Вывод 2 2 2 4 2" xfId="1951"/>
    <cellStyle name="Вывод 2 2 2 4 2 2" xfId="19699"/>
    <cellStyle name="Вывод 2 2 2 4 3" xfId="19700"/>
    <cellStyle name="Вывод 2 2 2 5" xfId="1952"/>
    <cellStyle name="Вывод 2 2 2 5 2" xfId="19698"/>
    <cellStyle name="Вывод 2 2 2 6" xfId="1953"/>
    <cellStyle name="Вывод 2 2 2 6 2" xfId="19697"/>
    <cellStyle name="Вывод 2 2 2 7" xfId="1954"/>
    <cellStyle name="Вывод 2 2 2 7 2" xfId="19696"/>
    <cellStyle name="Вывод 2 2 2 8" xfId="1955"/>
    <cellStyle name="Вывод 2 2 2 8 2" xfId="19695"/>
    <cellStyle name="Вывод 2 2 2 9" xfId="1956"/>
    <cellStyle name="Вывод 2 2 2 9 2" xfId="19694"/>
    <cellStyle name="Вывод 2 2 3" xfId="1957"/>
    <cellStyle name="Вывод 2 2 3 2" xfId="1958"/>
    <cellStyle name="Вывод 2 2 3 2 2" xfId="19692"/>
    <cellStyle name="Вывод 2 2 3 3" xfId="19693"/>
    <cellStyle name="Вывод 2 2 4" xfId="1959"/>
    <cellStyle name="Вывод 2 2 4 2" xfId="1960"/>
    <cellStyle name="Вывод 2 2 4 2 2" xfId="19690"/>
    <cellStyle name="Вывод 2 2 4 3" xfId="19691"/>
    <cellStyle name="Вывод 2 2 5" xfId="1961"/>
    <cellStyle name="Вывод 2 2 5 2" xfId="19689"/>
    <cellStyle name="Вывод 2 2 6" xfId="1962"/>
    <cellStyle name="Вывод 2 2 6 2" xfId="19688"/>
    <cellStyle name="Вывод 2 2 7" xfId="19706"/>
    <cellStyle name="Вывод 2 3" xfId="1963"/>
    <cellStyle name="Вывод 2 3 10" xfId="19687"/>
    <cellStyle name="Вывод 2 3 2" xfId="1964"/>
    <cellStyle name="Вывод 2 3 2 2" xfId="1965"/>
    <cellStyle name="Вывод 2 3 2 2 2" xfId="19685"/>
    <cellStyle name="Вывод 2 3 2 3" xfId="19686"/>
    <cellStyle name="Вывод 2 3 3" xfId="1966"/>
    <cellStyle name="Вывод 2 3 3 2" xfId="1967"/>
    <cellStyle name="Вывод 2 3 3 2 2" xfId="19683"/>
    <cellStyle name="Вывод 2 3 3 3" xfId="19684"/>
    <cellStyle name="Вывод 2 3 4" xfId="1968"/>
    <cellStyle name="Вывод 2 3 4 2" xfId="1969"/>
    <cellStyle name="Вывод 2 3 4 2 2" xfId="19681"/>
    <cellStyle name="Вывод 2 3 4 3" xfId="19682"/>
    <cellStyle name="Вывод 2 3 5" xfId="1970"/>
    <cellStyle name="Вывод 2 3 5 2" xfId="19680"/>
    <cellStyle name="Вывод 2 3 6" xfId="1971"/>
    <cellStyle name="Вывод 2 3 6 2" xfId="19679"/>
    <cellStyle name="Вывод 2 3 7" xfId="1972"/>
    <cellStyle name="Вывод 2 3 7 2" xfId="19678"/>
    <cellStyle name="Вывод 2 3 8" xfId="1973"/>
    <cellStyle name="Вывод 2 3 8 2" xfId="19677"/>
    <cellStyle name="Вывод 2 3 9" xfId="1974"/>
    <cellStyle name="Вывод 2 3 9 2" xfId="19676"/>
    <cellStyle name="Вывод 2 4" xfId="1975"/>
    <cellStyle name="Вывод 2 4 2" xfId="1976"/>
    <cellStyle name="Вывод 2 4 2 2" xfId="19674"/>
    <cellStyle name="Вывод 2 4 3" xfId="19675"/>
    <cellStyle name="Вывод 2 5" xfId="1977"/>
    <cellStyle name="Вывод 2 5 2" xfId="1978"/>
    <cellStyle name="Вывод 2 5 2 2" xfId="19672"/>
    <cellStyle name="Вывод 2 5 3" xfId="19673"/>
    <cellStyle name="Вывод 2 6" xfId="1979"/>
    <cellStyle name="Вывод 2 6 2" xfId="19671"/>
    <cellStyle name="Вывод 2 7" xfId="1980"/>
    <cellStyle name="Вывод 2 7 2" xfId="19670"/>
    <cellStyle name="Вывод 2 8" xfId="19707"/>
    <cellStyle name="Вывод 3" xfId="1981"/>
    <cellStyle name="Вывод 3 2" xfId="1982"/>
    <cellStyle name="Вывод 3 2 2" xfId="1983"/>
    <cellStyle name="Вывод 3 2 2 2" xfId="19667"/>
    <cellStyle name="Вывод 3 2 3" xfId="19668"/>
    <cellStyle name="Вывод 3 3" xfId="1984"/>
    <cellStyle name="Вывод 3 3 2" xfId="1985"/>
    <cellStyle name="Вывод 3 3 2 2" xfId="19665"/>
    <cellStyle name="Вывод 3 3 3" xfId="19666"/>
    <cellStyle name="Вывод 3 4" xfId="1986"/>
    <cellStyle name="Вывод 3 4 2" xfId="19664"/>
    <cellStyle name="Вывод 3 5" xfId="1987"/>
    <cellStyle name="Вывод 3 5 2" xfId="19663"/>
    <cellStyle name="Вывод 3 6" xfId="1988"/>
    <cellStyle name="Вывод 3 6 2" xfId="19662"/>
    <cellStyle name="Вывод 3 7" xfId="1989"/>
    <cellStyle name="Вывод 3 7 2" xfId="19661"/>
    <cellStyle name="Вывод 3 8" xfId="1990"/>
    <cellStyle name="Вывод 3 8 2" xfId="19660"/>
    <cellStyle name="Вывод 3 9" xfId="19669"/>
    <cellStyle name="Вычисление 2" xfId="1991"/>
    <cellStyle name="Вычисление 2 2" xfId="1992"/>
    <cellStyle name="Вычисление 2 2 2" xfId="1993"/>
    <cellStyle name="Вычисление 2 2 2 10" xfId="19657"/>
    <cellStyle name="Вычисление 2 2 2 2" xfId="1994"/>
    <cellStyle name="Вычисление 2 2 2 2 2" xfId="1995"/>
    <cellStyle name="Вычисление 2 2 2 2 2 2" xfId="19655"/>
    <cellStyle name="Вычисление 2 2 2 2 3" xfId="19656"/>
    <cellStyle name="Вычисление 2 2 2 3" xfId="1996"/>
    <cellStyle name="Вычисление 2 2 2 3 2" xfId="1997"/>
    <cellStyle name="Вычисление 2 2 2 3 2 2" xfId="19653"/>
    <cellStyle name="Вычисление 2 2 2 3 3" xfId="19654"/>
    <cellStyle name="Вычисление 2 2 2 4" xfId="1998"/>
    <cellStyle name="Вычисление 2 2 2 4 2" xfId="1999"/>
    <cellStyle name="Вычисление 2 2 2 4 2 2" xfId="19651"/>
    <cellStyle name="Вычисление 2 2 2 4 3" xfId="19652"/>
    <cellStyle name="Вычисление 2 2 2 5" xfId="2000"/>
    <cellStyle name="Вычисление 2 2 2 5 2" xfId="19650"/>
    <cellStyle name="Вычисление 2 2 2 6" xfId="2001"/>
    <cellStyle name="Вычисление 2 2 2 6 2" xfId="19649"/>
    <cellStyle name="Вычисление 2 2 2 7" xfId="2002"/>
    <cellStyle name="Вычисление 2 2 2 7 2" xfId="19648"/>
    <cellStyle name="Вычисление 2 2 2 8" xfId="2003"/>
    <cellStyle name="Вычисление 2 2 2 8 2" xfId="19647"/>
    <cellStyle name="Вычисление 2 2 2 9" xfId="2004"/>
    <cellStyle name="Вычисление 2 2 2 9 2" xfId="19646"/>
    <cellStyle name="Вычисление 2 2 3" xfId="2005"/>
    <cellStyle name="Вычисление 2 2 3 2" xfId="2006"/>
    <cellStyle name="Вычисление 2 2 3 2 2" xfId="19644"/>
    <cellStyle name="Вычисление 2 2 3 3" xfId="19645"/>
    <cellStyle name="Вычисление 2 2 4" xfId="2007"/>
    <cellStyle name="Вычисление 2 2 4 2" xfId="2008"/>
    <cellStyle name="Вычисление 2 2 4 2 2" xfId="19642"/>
    <cellStyle name="Вычисление 2 2 4 3" xfId="19643"/>
    <cellStyle name="Вычисление 2 2 5" xfId="2009"/>
    <cellStyle name="Вычисление 2 2 5 2" xfId="19641"/>
    <cellStyle name="Вычисление 2 2 6" xfId="2010"/>
    <cellStyle name="Вычисление 2 2 6 2" xfId="19640"/>
    <cellStyle name="Вычисление 2 2 7" xfId="19658"/>
    <cellStyle name="Вычисление 2 3" xfId="2011"/>
    <cellStyle name="Вычисление 2 3 10" xfId="19639"/>
    <cellStyle name="Вычисление 2 3 2" xfId="2012"/>
    <cellStyle name="Вычисление 2 3 2 2" xfId="2013"/>
    <cellStyle name="Вычисление 2 3 2 2 2" xfId="19637"/>
    <cellStyle name="Вычисление 2 3 2 3" xfId="19638"/>
    <cellStyle name="Вычисление 2 3 3" xfId="2014"/>
    <cellStyle name="Вычисление 2 3 3 2" xfId="2015"/>
    <cellStyle name="Вычисление 2 3 3 2 2" xfId="19635"/>
    <cellStyle name="Вычисление 2 3 3 3" xfId="19636"/>
    <cellStyle name="Вычисление 2 3 4" xfId="2016"/>
    <cellStyle name="Вычисление 2 3 4 2" xfId="2017"/>
    <cellStyle name="Вычисление 2 3 4 2 2" xfId="19633"/>
    <cellStyle name="Вычисление 2 3 4 3" xfId="19634"/>
    <cellStyle name="Вычисление 2 3 5" xfId="2018"/>
    <cellStyle name="Вычисление 2 3 5 2" xfId="19632"/>
    <cellStyle name="Вычисление 2 3 6" xfId="2019"/>
    <cellStyle name="Вычисление 2 3 6 2" xfId="19631"/>
    <cellStyle name="Вычисление 2 3 7" xfId="2020"/>
    <cellStyle name="Вычисление 2 3 7 2" xfId="19630"/>
    <cellStyle name="Вычисление 2 3 8" xfId="2021"/>
    <cellStyle name="Вычисление 2 3 8 2" xfId="19629"/>
    <cellStyle name="Вычисление 2 3 9" xfId="2022"/>
    <cellStyle name="Вычисление 2 3 9 2" xfId="19628"/>
    <cellStyle name="Вычисление 2 4" xfId="2023"/>
    <cellStyle name="Вычисление 2 4 2" xfId="2024"/>
    <cellStyle name="Вычисление 2 4 2 2" xfId="19626"/>
    <cellStyle name="Вычисление 2 4 3" xfId="19627"/>
    <cellStyle name="Вычисление 2 5" xfId="2025"/>
    <cellStyle name="Вычисление 2 5 2" xfId="2026"/>
    <cellStyle name="Вычисление 2 5 2 2" xfId="19624"/>
    <cellStyle name="Вычисление 2 5 3" xfId="19625"/>
    <cellStyle name="Вычисление 2 6" xfId="2027"/>
    <cellStyle name="Вычисление 2 6 2" xfId="19623"/>
    <cellStyle name="Вычисление 2 7" xfId="2028"/>
    <cellStyle name="Вычисление 2 7 2" xfId="19622"/>
    <cellStyle name="Вычисление 2 8" xfId="19659"/>
    <cellStyle name="Вычисление 3" xfId="2029"/>
    <cellStyle name="Вычисление 3 2" xfId="2030"/>
    <cellStyle name="Вычисление 3 2 2" xfId="2031"/>
    <cellStyle name="Вычисление 3 2 2 2" xfId="19619"/>
    <cellStyle name="Вычисление 3 2 3" xfId="19620"/>
    <cellStyle name="Вычисление 3 3" xfId="2032"/>
    <cellStyle name="Вычисление 3 3 2" xfId="2033"/>
    <cellStyle name="Вычисление 3 3 2 2" xfId="19617"/>
    <cellStyle name="Вычисление 3 3 3" xfId="19618"/>
    <cellStyle name="Вычисление 3 4" xfId="2034"/>
    <cellStyle name="Вычисление 3 4 2" xfId="19616"/>
    <cellStyle name="Вычисление 3 5" xfId="2035"/>
    <cellStyle name="Вычисление 3 5 2" xfId="19615"/>
    <cellStyle name="Вычисление 3 6" xfId="2036"/>
    <cellStyle name="Вычисление 3 6 2" xfId="19614"/>
    <cellStyle name="Вычисление 3 7" xfId="2037"/>
    <cellStyle name="Вычисление 3 7 2" xfId="19613"/>
    <cellStyle name="Вычисление 3 8" xfId="2038"/>
    <cellStyle name="Вычисление 3 8 2" xfId="19612"/>
    <cellStyle name="Вычисление 3 9" xfId="19621"/>
    <cellStyle name="Вычисление 7 2 2" xfId="2039"/>
    <cellStyle name="Гиперссылка 10" xfId="2040"/>
    <cellStyle name="Гиперссылка 11" xfId="2041"/>
    <cellStyle name="Гиперссылка 2" xfId="2042"/>
    <cellStyle name="Гиперссылка 2 10" xfId="2043"/>
    <cellStyle name="Гиперссылка 2 10 2" xfId="2044"/>
    <cellStyle name="Гиперссылка 2 2" xfId="2045"/>
    <cellStyle name="Гиперссылка 2 2 2" xfId="2046"/>
    <cellStyle name="Гиперссылка 2 2 3" xfId="2047"/>
    <cellStyle name="Гиперссылка 2 3" xfId="2048"/>
    <cellStyle name="Гиперссылка 2 4" xfId="2049"/>
    <cellStyle name="Гиперссылка 2 5" xfId="2050"/>
    <cellStyle name="Гиперссылка 2 6" xfId="2051"/>
    <cellStyle name="Гиперссылка 2 7" xfId="2052"/>
    <cellStyle name="Гиперссылка 2 8" xfId="2053"/>
    <cellStyle name="Гиперссылка 2 9" xfId="2054"/>
    <cellStyle name="Гиперссылка 2_Кальк 9104 (26_10_09)" xfId="2055"/>
    <cellStyle name="Гиперссылка 3" xfId="2056"/>
    <cellStyle name="Гиперссылка 4" xfId="2057"/>
    <cellStyle name="Гиперссылка 5" xfId="2058"/>
    <cellStyle name="Гиперссылка 5 2" xfId="2059"/>
    <cellStyle name="Гиперссылка 5 3" xfId="2060"/>
    <cellStyle name="Гиперссылка 6" xfId="2061"/>
    <cellStyle name="Гиперссылка 7" xfId="2062"/>
    <cellStyle name="Гиперссылка 7 2" xfId="2063"/>
    <cellStyle name="Гиперссылка 7 3" xfId="2064"/>
    <cellStyle name="Гиперссылка 8" xfId="2065"/>
    <cellStyle name="Гиперссылка 8 2" xfId="2066"/>
    <cellStyle name="Гиперссылка 8 3" xfId="2067"/>
    <cellStyle name="Гиперссылка 8 4" xfId="2068"/>
    <cellStyle name="Гиперссылка 9" xfId="2069"/>
    <cellStyle name="Гиперссылка 9 2" xfId="2070"/>
    <cellStyle name="Гиперссылка 9_Расчет  30 млн_Технополис  Коренькова" xfId="2071"/>
    <cellStyle name="Дверной" xfId="2072"/>
    <cellStyle name="Денежный 10" xfId="2073"/>
    <cellStyle name="Денежный 10 2" xfId="2074"/>
    <cellStyle name="Денежный 10 2 2" xfId="2075"/>
    <cellStyle name="Денежный 10 2 2 2" xfId="2076"/>
    <cellStyle name="Денежный 10 2 2 3" xfId="2077"/>
    <cellStyle name="Денежный 10 2 3" xfId="2078"/>
    <cellStyle name="Денежный 10 2 4" xfId="2079"/>
    <cellStyle name="Денежный 10 2 5" xfId="2080"/>
    <cellStyle name="Денежный 10 3" xfId="2081"/>
    <cellStyle name="Денежный 10 3 2" xfId="2082"/>
    <cellStyle name="Денежный 10 3 3" xfId="2083"/>
    <cellStyle name="Денежный 10 4" xfId="2084"/>
    <cellStyle name="Денежный 10 5" xfId="2085"/>
    <cellStyle name="Денежный 10 6" xfId="2086"/>
    <cellStyle name="Денежный 11" xfId="2087"/>
    <cellStyle name="Денежный 11 2" xfId="2088"/>
    <cellStyle name="Денежный 11 2 2" xfId="2089"/>
    <cellStyle name="Денежный 11 2 3" xfId="2090"/>
    <cellStyle name="Денежный 12" xfId="2091"/>
    <cellStyle name="Денежный 12 2" xfId="2092"/>
    <cellStyle name="Денежный 12 2 2" xfId="2093"/>
    <cellStyle name="Денежный 12 2 3" xfId="2094"/>
    <cellStyle name="Денежный 12 3" xfId="2095"/>
    <cellStyle name="Денежный 12 4" xfId="2096"/>
    <cellStyle name="Денежный 13" xfId="2097"/>
    <cellStyle name="Денежный 13 2" xfId="2098"/>
    <cellStyle name="Денежный 13 2 2" xfId="2099"/>
    <cellStyle name="Денежный 13 2 3" xfId="2100"/>
    <cellStyle name="Денежный 13 3" xfId="2101"/>
    <cellStyle name="Денежный 13 4" xfId="2102"/>
    <cellStyle name="Денежный 14" xfId="2103"/>
    <cellStyle name="Денежный 15" xfId="2104"/>
    <cellStyle name="Денежный 16" xfId="2105"/>
    <cellStyle name="Денежный 2" xfId="2"/>
    <cellStyle name="Денежный 2 10" xfId="2106"/>
    <cellStyle name="Денежный 2 11" xfId="2107"/>
    <cellStyle name="Денежный 2 12" xfId="9"/>
    <cellStyle name="Денежный 2 13" xfId="2108"/>
    <cellStyle name="Денежный 2 14" xfId="2109"/>
    <cellStyle name="Денежный 2 2" xfId="6"/>
    <cellStyle name="Денежный 2 2 2" xfId="2110"/>
    <cellStyle name="Денежный 2 2 2 2" xfId="2111"/>
    <cellStyle name="Денежный 2 2 2 3" xfId="2112"/>
    <cellStyle name="Денежный 2 2 3" xfId="2113"/>
    <cellStyle name="Денежный 2 2 4" xfId="2114"/>
    <cellStyle name="Денежный 2 2 5" xfId="2115"/>
    <cellStyle name="Денежный 2 2_Марине 6 04 08" xfId="2116"/>
    <cellStyle name="Денежный 2 3" xfId="2117"/>
    <cellStyle name="Денежный 2 3 2" xfId="2118"/>
    <cellStyle name="Денежный 2 4" xfId="2119"/>
    <cellStyle name="Денежный 2 4 2" xfId="2120"/>
    <cellStyle name="Денежный 2 5" xfId="2121"/>
    <cellStyle name="Денежный 2 6" xfId="2122"/>
    <cellStyle name="Денежный 2 6 2" xfId="2123"/>
    <cellStyle name="Денежный 2 6 3" xfId="2124"/>
    <cellStyle name="Денежный 2 7" xfId="2125"/>
    <cellStyle name="Денежный 2 8" xfId="2126"/>
    <cellStyle name="Денежный 2 9" xfId="2127"/>
    <cellStyle name="Денежный 2_Марине 3 04 09" xfId="2128"/>
    <cellStyle name="Денежный 3" xfId="2129"/>
    <cellStyle name="Денежный 3 2" xfId="2130"/>
    <cellStyle name="Денежный 3 2 2" xfId="2131"/>
    <cellStyle name="Денежный 4" xfId="2132"/>
    <cellStyle name="Денежный 4 2" xfId="2133"/>
    <cellStyle name="Денежный 4 2 2" xfId="2134"/>
    <cellStyle name="Денежный 4 2 3" xfId="2135"/>
    <cellStyle name="Денежный 4 3" xfId="2136"/>
    <cellStyle name="Денежный 5" xfId="2137"/>
    <cellStyle name="Денежный 5 2" xfId="2138"/>
    <cellStyle name="Денежный 5 2 2" xfId="2139"/>
    <cellStyle name="Денежный 5 2 3" xfId="2140"/>
    <cellStyle name="Денежный 5 2 4" xfId="2141"/>
    <cellStyle name="Денежный 5 3" xfId="2142"/>
    <cellStyle name="Денежный 5 3 2" xfId="2143"/>
    <cellStyle name="Денежный 5 3 2 2" xfId="2144"/>
    <cellStyle name="Денежный 5 3 3" xfId="2145"/>
    <cellStyle name="Денежный 5 3 4" xfId="2146"/>
    <cellStyle name="Денежный 5 3 5" xfId="2147"/>
    <cellStyle name="Денежный 5 4" xfId="2148"/>
    <cellStyle name="Денежный 5 4 2" xfId="2149"/>
    <cellStyle name="Денежный 5 4 2 2" xfId="2150"/>
    <cellStyle name="Денежный 5 4 2 2 2" xfId="2151"/>
    <cellStyle name="Денежный 5 4 2 2 3" xfId="2152"/>
    <cellStyle name="Денежный 5 4 2 3" xfId="2153"/>
    <cellStyle name="Денежный 5 4 2 4" xfId="2154"/>
    <cellStyle name="Денежный 5 4 2 5" xfId="2155"/>
    <cellStyle name="Денежный 5 4 3" xfId="2156"/>
    <cellStyle name="Денежный 5 4 3 2" xfId="2157"/>
    <cellStyle name="Денежный 5 4 3 3" xfId="2158"/>
    <cellStyle name="Денежный 5 4 4" xfId="2159"/>
    <cellStyle name="Денежный 5 4 5" xfId="2160"/>
    <cellStyle name="Денежный 5 4 6" xfId="2161"/>
    <cellStyle name="Денежный 5 5" xfId="2162"/>
    <cellStyle name="Денежный 5 5 2" xfId="2163"/>
    <cellStyle name="Денежный 5 6" xfId="2164"/>
    <cellStyle name="Денежный 5 7" xfId="2165"/>
    <cellStyle name="Денежный 5_ремонт квартир пр-т просвещРиО" xfId="2166"/>
    <cellStyle name="Денежный 6" xfId="2167"/>
    <cellStyle name="Денежный 6 2" xfId="2168"/>
    <cellStyle name="Денежный 6 3" xfId="2169"/>
    <cellStyle name="Денежный 6 3 2" xfId="2170"/>
    <cellStyle name="Денежный 6 4" xfId="2171"/>
    <cellStyle name="Денежный 7" xfId="2172"/>
    <cellStyle name="Денежный 7 2" xfId="2173"/>
    <cellStyle name="Денежный 7 2 2" xfId="2174"/>
    <cellStyle name="Денежный 7 2 2 2" xfId="2175"/>
    <cellStyle name="Денежный 7 2 2 2 2" xfId="2176"/>
    <cellStyle name="Денежный 7 2 2 2 3" xfId="2177"/>
    <cellStyle name="Денежный 7 2 2 3" xfId="2178"/>
    <cellStyle name="Денежный 7 2 2 4" xfId="2179"/>
    <cellStyle name="Денежный 7 2 2 5" xfId="2180"/>
    <cellStyle name="Денежный 7 2 3" xfId="2181"/>
    <cellStyle name="Денежный 7 2 3 2" xfId="2182"/>
    <cellStyle name="Денежный 7 2 3 3" xfId="2183"/>
    <cellStyle name="Денежный 7 2 4" xfId="2184"/>
    <cellStyle name="Денежный 7 2 5" xfId="2185"/>
    <cellStyle name="Денежный 7 2 6" xfId="2186"/>
    <cellStyle name="Денежный 7 3" xfId="2187"/>
    <cellStyle name="Денежный 7 3 2" xfId="2188"/>
    <cellStyle name="Денежный 7 3 2 2" xfId="2189"/>
    <cellStyle name="Денежный 7 3 2 2 2" xfId="2190"/>
    <cellStyle name="Денежный 7 3 2 2 3" xfId="2191"/>
    <cellStyle name="Денежный 7 3 2 3" xfId="2192"/>
    <cellStyle name="Денежный 7 3 2 4" xfId="2193"/>
    <cellStyle name="Денежный 7 3 2 5" xfId="2194"/>
    <cellStyle name="Денежный 7 3 3" xfId="2195"/>
    <cellStyle name="Денежный 7 3 3 2" xfId="2196"/>
    <cellStyle name="Денежный 7 3 3 3" xfId="2197"/>
    <cellStyle name="Денежный 7 3 4" xfId="2198"/>
    <cellStyle name="Денежный 7 3 5" xfId="2199"/>
    <cellStyle name="Денежный 7 3 6" xfId="2200"/>
    <cellStyle name="Денежный 7 4" xfId="2201"/>
    <cellStyle name="Денежный 7 4 2" xfId="2202"/>
    <cellStyle name="Денежный 7 4 2 2" xfId="2203"/>
    <cellStyle name="Денежный 7 4 2 3" xfId="2204"/>
    <cellStyle name="Денежный 7 4 3" xfId="2205"/>
    <cellStyle name="Денежный 7 4 4" xfId="2206"/>
    <cellStyle name="Денежный 7 4 5" xfId="2207"/>
    <cellStyle name="Денежный 7 5" xfId="2208"/>
    <cellStyle name="Денежный 7 5 2" xfId="2209"/>
    <cellStyle name="Денежный 7 5 3" xfId="2210"/>
    <cellStyle name="Денежный 7 6" xfId="2211"/>
    <cellStyle name="Денежный 7 7" xfId="2212"/>
    <cellStyle name="Денежный 7 8" xfId="2213"/>
    <cellStyle name="Денежный 8" xfId="2214"/>
    <cellStyle name="Денежный 8 2" xfId="2215"/>
    <cellStyle name="Денежный 8 3" xfId="2216"/>
    <cellStyle name="Денежный 8 4" xfId="2217"/>
    <cellStyle name="Денежный 8 5" xfId="2218"/>
    <cellStyle name="Денежный 9" xfId="2219"/>
    <cellStyle name="Заголовок 1 2" xfId="2220"/>
    <cellStyle name="Заголовок 1 2 2" xfId="2221"/>
    <cellStyle name="Заголовок 1 3" xfId="2222"/>
    <cellStyle name="Заголовок 1 3 2" xfId="2223"/>
    <cellStyle name="Заголовок 2 2" xfId="2224"/>
    <cellStyle name="Заголовок 2 2 2" xfId="2225"/>
    <cellStyle name="Заголовок 2 3" xfId="2226"/>
    <cellStyle name="Заголовок 2 3 2" xfId="2227"/>
    <cellStyle name="Заголовок 3 2" xfId="2228"/>
    <cellStyle name="Заголовок 3 2 2" xfId="2229"/>
    <cellStyle name="Заголовок 3 3" xfId="2230"/>
    <cellStyle name="Заголовок 3 3 2" xfId="2231"/>
    <cellStyle name="Заголовок 4 2" xfId="2232"/>
    <cellStyle name="Заголовок 4 2 2" xfId="2233"/>
    <cellStyle name="Заголовок 4 3" xfId="2234"/>
    <cellStyle name="Заголовок 4 3 2" xfId="2235"/>
    <cellStyle name="Защитный" xfId="2236"/>
    <cellStyle name="Защитный 2" xfId="2237"/>
    <cellStyle name="Защитный 2 2" xfId="2238"/>
    <cellStyle name="Защитный 2 2 2" xfId="2239"/>
    <cellStyle name="Защитный 2 2 3" xfId="2240"/>
    <cellStyle name="Защитный 2 2 4" xfId="2241"/>
    <cellStyle name="Защитный 2 3" xfId="2242"/>
    <cellStyle name="Защитный 2 4" xfId="2243"/>
    <cellStyle name="Защитный 2 5" xfId="2244"/>
    <cellStyle name="Защитный 2 6" xfId="2245"/>
    <cellStyle name="Защитный 3" xfId="2246"/>
    <cellStyle name="Защитный 3 2" xfId="2247"/>
    <cellStyle name="Защитный 3 3" xfId="2248"/>
    <cellStyle name="Защитный 3 4" xfId="2249"/>
    <cellStyle name="Итог 2" xfId="2250"/>
    <cellStyle name="Итог 2 2" xfId="2251"/>
    <cellStyle name="Итог 2 2 2" xfId="2252"/>
    <cellStyle name="Итог 2 2 2 10" xfId="19609"/>
    <cellStyle name="Итог 2 2 2 2" xfId="2253"/>
    <cellStyle name="Итог 2 2 2 2 2" xfId="2254"/>
    <cellStyle name="Итог 2 2 2 2 2 2" xfId="19607"/>
    <cellStyle name="Итог 2 2 2 2 3" xfId="19608"/>
    <cellStyle name="Итог 2 2 2 3" xfId="2255"/>
    <cellStyle name="Итог 2 2 2 3 2" xfId="2256"/>
    <cellStyle name="Итог 2 2 2 3 2 2" xfId="19605"/>
    <cellStyle name="Итог 2 2 2 3 3" xfId="19606"/>
    <cellStyle name="Итог 2 2 2 4" xfId="2257"/>
    <cellStyle name="Итог 2 2 2 4 2" xfId="2258"/>
    <cellStyle name="Итог 2 2 2 4 2 2" xfId="19603"/>
    <cellStyle name="Итог 2 2 2 4 3" xfId="19604"/>
    <cellStyle name="Итог 2 2 2 5" xfId="2259"/>
    <cellStyle name="Итог 2 2 2 5 2" xfId="19602"/>
    <cellStyle name="Итог 2 2 2 6" xfId="2260"/>
    <cellStyle name="Итог 2 2 2 6 2" xfId="19601"/>
    <cellStyle name="Итог 2 2 2 7" xfId="2261"/>
    <cellStyle name="Итог 2 2 2 7 2" xfId="19600"/>
    <cellStyle name="Итог 2 2 2 8" xfId="2262"/>
    <cellStyle name="Итог 2 2 2 8 2" xfId="19599"/>
    <cellStyle name="Итог 2 2 2 9" xfId="2263"/>
    <cellStyle name="Итог 2 2 2 9 2" xfId="19598"/>
    <cellStyle name="Итог 2 2 3" xfId="2264"/>
    <cellStyle name="Итог 2 2 3 2" xfId="2265"/>
    <cellStyle name="Итог 2 2 3 2 2" xfId="19596"/>
    <cellStyle name="Итог 2 2 3 3" xfId="19597"/>
    <cellStyle name="Итог 2 2 4" xfId="2266"/>
    <cellStyle name="Итог 2 2 4 2" xfId="2267"/>
    <cellStyle name="Итог 2 2 4 2 2" xfId="19594"/>
    <cellStyle name="Итог 2 2 4 3" xfId="19595"/>
    <cellStyle name="Итог 2 2 5" xfId="2268"/>
    <cellStyle name="Итог 2 2 5 2" xfId="19593"/>
    <cellStyle name="Итог 2 2 6" xfId="2269"/>
    <cellStyle name="Итог 2 2 6 2" xfId="19592"/>
    <cellStyle name="Итог 2 2 7" xfId="19610"/>
    <cellStyle name="Итог 2 3" xfId="2270"/>
    <cellStyle name="Итог 2 3 10" xfId="19591"/>
    <cellStyle name="Итог 2 3 2" xfId="2271"/>
    <cellStyle name="Итог 2 3 2 2" xfId="2272"/>
    <cellStyle name="Итог 2 3 2 2 2" xfId="19589"/>
    <cellStyle name="Итог 2 3 2 3" xfId="19590"/>
    <cellStyle name="Итог 2 3 3" xfId="2273"/>
    <cellStyle name="Итог 2 3 3 2" xfId="2274"/>
    <cellStyle name="Итог 2 3 3 2 2" xfId="19587"/>
    <cellStyle name="Итог 2 3 3 3" xfId="19588"/>
    <cellStyle name="Итог 2 3 4" xfId="2275"/>
    <cellStyle name="Итог 2 3 4 2" xfId="2276"/>
    <cellStyle name="Итог 2 3 4 2 2" xfId="19585"/>
    <cellStyle name="Итог 2 3 4 3" xfId="19586"/>
    <cellStyle name="Итог 2 3 5" xfId="2277"/>
    <cellStyle name="Итог 2 3 5 2" xfId="19584"/>
    <cellStyle name="Итог 2 3 6" xfId="2278"/>
    <cellStyle name="Итог 2 3 6 2" xfId="19583"/>
    <cellStyle name="Итог 2 3 7" xfId="2279"/>
    <cellStyle name="Итог 2 3 7 2" xfId="19582"/>
    <cellStyle name="Итог 2 3 8" xfId="2280"/>
    <cellStyle name="Итог 2 3 8 2" xfId="19581"/>
    <cellStyle name="Итог 2 3 9" xfId="2281"/>
    <cellStyle name="Итог 2 3 9 2" xfId="19580"/>
    <cellStyle name="Итог 2 4" xfId="2282"/>
    <cellStyle name="Итог 2 4 2" xfId="2283"/>
    <cellStyle name="Итог 2 4 2 2" xfId="19578"/>
    <cellStyle name="Итог 2 4 3" xfId="19579"/>
    <cellStyle name="Итог 2 5" xfId="2284"/>
    <cellStyle name="Итог 2 5 2" xfId="2285"/>
    <cellStyle name="Итог 2 5 2 2" xfId="19576"/>
    <cellStyle name="Итог 2 5 3" xfId="19577"/>
    <cellStyle name="Итог 2 6" xfId="2286"/>
    <cellStyle name="Итог 2 6 2" xfId="19575"/>
    <cellStyle name="Итог 2 7" xfId="2287"/>
    <cellStyle name="Итог 2 7 2" xfId="19574"/>
    <cellStyle name="Итог 2 8" xfId="19611"/>
    <cellStyle name="Итог 3" xfId="2288"/>
    <cellStyle name="Итог 3 2" xfId="2289"/>
    <cellStyle name="Итог 3 2 2" xfId="2290"/>
    <cellStyle name="Итог 3 2 2 2" xfId="19571"/>
    <cellStyle name="Итог 3 2 3" xfId="19572"/>
    <cellStyle name="Итог 3 3" xfId="2291"/>
    <cellStyle name="Итог 3 3 2" xfId="2292"/>
    <cellStyle name="Итог 3 3 2 2" xfId="19569"/>
    <cellStyle name="Итог 3 3 3" xfId="19570"/>
    <cellStyle name="Итог 3 4" xfId="2293"/>
    <cellStyle name="Итог 3 4 2" xfId="19568"/>
    <cellStyle name="Итог 3 5" xfId="2294"/>
    <cellStyle name="Итог 3 5 2" xfId="19567"/>
    <cellStyle name="Итог 3 6" xfId="2295"/>
    <cellStyle name="Итог 3 6 2" xfId="19566"/>
    <cellStyle name="Итог 3 7" xfId="2296"/>
    <cellStyle name="Итог 3 7 2" xfId="19565"/>
    <cellStyle name="Итог 3 8" xfId="2297"/>
    <cellStyle name="Итог 3 8 2" xfId="19564"/>
    <cellStyle name="Итог 3 9" xfId="19573"/>
    <cellStyle name="Контрольная ячейка 2" xfId="2298"/>
    <cellStyle name="Контрольная ячейка 2 2" xfId="2299"/>
    <cellStyle name="Контрольная ячейка 3" xfId="2300"/>
    <cellStyle name="Контрольная ячейка 3 2" xfId="2301"/>
    <cellStyle name="Название 2" xfId="2302"/>
    <cellStyle name="Название 2 2" xfId="2303"/>
    <cellStyle name="Название 3" xfId="2304"/>
    <cellStyle name="Название 3 2" xfId="2305"/>
    <cellStyle name="Нейтральный 2" xfId="2306"/>
    <cellStyle name="Нейтральный 2 2" xfId="2307"/>
    <cellStyle name="Нейтральный 3" xfId="2308"/>
    <cellStyle name="Нейтральный 3 2" xfId="2309"/>
    <cellStyle name="Обычный" xfId="0" builtinId="0"/>
    <cellStyle name="Обычный 10" xfId="2310"/>
    <cellStyle name="Обычный 10 2" xfId="2311"/>
    <cellStyle name="Обычный 10 2 2" xfId="2312"/>
    <cellStyle name="Обычный 10 2 2 2" xfId="2313"/>
    <cellStyle name="Обычный 10 2 2 2 2" xfId="2314"/>
    <cellStyle name="Обычный 10 2 2 2 3" xfId="2315"/>
    <cellStyle name="Обычный 10 2 2 3" xfId="2316"/>
    <cellStyle name="Обычный 10 2 2 4" xfId="2317"/>
    <cellStyle name="Обычный 10 2 3" xfId="2318"/>
    <cellStyle name="Обычный 10 2 3 2" xfId="2319"/>
    <cellStyle name="Обычный 10 2 3 3" xfId="2320"/>
    <cellStyle name="Обычный 10 2 4" xfId="2321"/>
    <cellStyle name="Обычный 10 2 5" xfId="2322"/>
    <cellStyle name="Обычный 10 2 6" xfId="2323"/>
    <cellStyle name="Обычный 10 3" xfId="2324"/>
    <cellStyle name="Обычный 102" xfId="2325"/>
    <cellStyle name="Обычный 11" xfId="2326"/>
    <cellStyle name="Обычный 11 10" xfId="2327"/>
    <cellStyle name="Обычный 11 10 2" xfId="2328"/>
    <cellStyle name="Обычный 11 10 2 2" xfId="2329"/>
    <cellStyle name="Обычный 11 10 2 2 2" xfId="2330"/>
    <cellStyle name="Обычный 11 10 2 2 3" xfId="2331"/>
    <cellStyle name="Обычный 11 10 2 3" xfId="2332"/>
    <cellStyle name="Обычный 11 10 2 4" xfId="2333"/>
    <cellStyle name="Обычный 11 10 3" xfId="2334"/>
    <cellStyle name="Обычный 11 10 3 2" xfId="2335"/>
    <cellStyle name="Обычный 11 10 3 3" xfId="2336"/>
    <cellStyle name="Обычный 11 10 4" xfId="2337"/>
    <cellStyle name="Обычный 11 10 5" xfId="2338"/>
    <cellStyle name="Обычный 11 11" xfId="2339"/>
    <cellStyle name="Обычный 11 11 2" xfId="2340"/>
    <cellStyle name="Обычный 11 11 2 2" xfId="2341"/>
    <cellStyle name="Обычный 11 11 2 3" xfId="2342"/>
    <cellStyle name="Обычный 11 11 3" xfId="2343"/>
    <cellStyle name="Обычный 11 11 4" xfId="2344"/>
    <cellStyle name="Обычный 11 12" xfId="2345"/>
    <cellStyle name="Обычный 11 12 2" xfId="2346"/>
    <cellStyle name="Обычный 11 12 3" xfId="2347"/>
    <cellStyle name="Обычный 11 13" xfId="2348"/>
    <cellStyle name="Обычный 11 14" xfId="2349"/>
    <cellStyle name="Обычный 11 2" xfId="2350"/>
    <cellStyle name="Обычный 11 2 10" xfId="2351"/>
    <cellStyle name="Обычный 11 2 2" xfId="2352"/>
    <cellStyle name="Обычный 11 2 2 2" xfId="2353"/>
    <cellStyle name="Обычный 11 2 2 2 2" xfId="2354"/>
    <cellStyle name="Обычный 11 2 2 3" xfId="2355"/>
    <cellStyle name="Обычный 11 2 3" xfId="2356"/>
    <cellStyle name="Обычный 11 2 3 2" xfId="2357"/>
    <cellStyle name="Обычный 11 2 3 2 2" xfId="2358"/>
    <cellStyle name="Обычный 11 2 3 2 2 2" xfId="2359"/>
    <cellStyle name="Обычный 11 2 3 2 2 3" xfId="2360"/>
    <cellStyle name="Обычный 11 2 3 2 3" xfId="2361"/>
    <cellStyle name="Обычный 11 2 3 2 4" xfId="2362"/>
    <cellStyle name="Обычный 11 2 3 3" xfId="2363"/>
    <cellStyle name="Обычный 11 2 3 3 2" xfId="2364"/>
    <cellStyle name="Обычный 11 2 3 3 3" xfId="2365"/>
    <cellStyle name="Обычный 11 2 3 4" xfId="2366"/>
    <cellStyle name="Обычный 11 2 3 5" xfId="2367"/>
    <cellStyle name="Обычный 11 2 4" xfId="2368"/>
    <cellStyle name="Обычный 11 2 4 2" xfId="2369"/>
    <cellStyle name="Обычный 11 2 4 2 2" xfId="2370"/>
    <cellStyle name="Обычный 11 2 4 2 2 2" xfId="2371"/>
    <cellStyle name="Обычный 11 2 4 2 2 3" xfId="2372"/>
    <cellStyle name="Обычный 11 2 4 2 3" xfId="2373"/>
    <cellStyle name="Обычный 11 2 4 2 4" xfId="2374"/>
    <cellStyle name="Обычный 11 2 4 3" xfId="2375"/>
    <cellStyle name="Обычный 11 2 4 3 2" xfId="2376"/>
    <cellStyle name="Обычный 11 2 4 3 3" xfId="2377"/>
    <cellStyle name="Обычный 11 2 4 4" xfId="2378"/>
    <cellStyle name="Обычный 11 2 4 5" xfId="2379"/>
    <cellStyle name="Обычный 11 2 5" xfId="2380"/>
    <cellStyle name="Обычный 11 2 5 2" xfId="2381"/>
    <cellStyle name="Обычный 11 2 5 2 2" xfId="2382"/>
    <cellStyle name="Обычный 11 2 5 2 2 2" xfId="2383"/>
    <cellStyle name="Обычный 11 2 5 2 2 3" xfId="2384"/>
    <cellStyle name="Обычный 11 2 5 2 3" xfId="2385"/>
    <cellStyle name="Обычный 11 2 5 2 4" xfId="2386"/>
    <cellStyle name="Обычный 11 2 5 3" xfId="2387"/>
    <cellStyle name="Обычный 11 2 5 3 2" xfId="2388"/>
    <cellStyle name="Обычный 11 2 5 3 3" xfId="2389"/>
    <cellStyle name="Обычный 11 2 5 4" xfId="2390"/>
    <cellStyle name="Обычный 11 2 5 5" xfId="2391"/>
    <cellStyle name="Обычный 11 2 6" xfId="2392"/>
    <cellStyle name="Обычный 11 2 6 2" xfId="2393"/>
    <cellStyle name="Обычный 11 2 6 2 2" xfId="2394"/>
    <cellStyle name="Обычный 11 2 6 2 2 2" xfId="2395"/>
    <cellStyle name="Обычный 11 2 6 2 2 3" xfId="2396"/>
    <cellStyle name="Обычный 11 2 6 2 3" xfId="2397"/>
    <cellStyle name="Обычный 11 2 6 2 4" xfId="2398"/>
    <cellStyle name="Обычный 11 2 6 3" xfId="2399"/>
    <cellStyle name="Обычный 11 2 6 3 2" xfId="2400"/>
    <cellStyle name="Обычный 11 2 6 3 3" xfId="2401"/>
    <cellStyle name="Обычный 11 2 6 4" xfId="2402"/>
    <cellStyle name="Обычный 11 2 6 5" xfId="2403"/>
    <cellStyle name="Обычный 11 2 7" xfId="2404"/>
    <cellStyle name="Обычный 11 2 7 2" xfId="2405"/>
    <cellStyle name="Обычный 11 2 7 2 2" xfId="2406"/>
    <cellStyle name="Обычный 11 2 7 2 3" xfId="2407"/>
    <cellStyle name="Обычный 11 2 7 3" xfId="2408"/>
    <cellStyle name="Обычный 11 2 7 4" xfId="2409"/>
    <cellStyle name="Обычный 11 2 8" xfId="2410"/>
    <cellStyle name="Обычный 11 2 8 2" xfId="2411"/>
    <cellStyle name="Обычный 11 2 8 3" xfId="2412"/>
    <cellStyle name="Обычный 11 2 9" xfId="2413"/>
    <cellStyle name="Обычный 11 2_Расчет  30 млн_Технополис  Коренькова" xfId="2414"/>
    <cellStyle name="Обычный 11 3" xfId="2415"/>
    <cellStyle name="Обычный 11 3 10" xfId="2416"/>
    <cellStyle name="Обычный 11 3 2" xfId="2417"/>
    <cellStyle name="Обычный 11 3 2 2" xfId="2418"/>
    <cellStyle name="Обычный 11 3 2 2 2" xfId="2419"/>
    <cellStyle name="Обычный 11 3 2 2 2 2" xfId="2420"/>
    <cellStyle name="Обычный 11 3 2 2 2 3" xfId="2421"/>
    <cellStyle name="Обычный 11 3 2 2 3" xfId="2422"/>
    <cellStyle name="Обычный 11 3 2 2 4" xfId="2423"/>
    <cellStyle name="Обычный 11 3 2 3" xfId="2424"/>
    <cellStyle name="Обычный 11 3 2 3 2" xfId="2425"/>
    <cellStyle name="Обычный 11 3 2 3 3" xfId="2426"/>
    <cellStyle name="Обычный 11 3 2 4" xfId="2427"/>
    <cellStyle name="Обычный 11 3 2 5" xfId="2428"/>
    <cellStyle name="Обычный 11 3 3" xfId="2429"/>
    <cellStyle name="Обычный 11 3 3 2" xfId="2430"/>
    <cellStyle name="Обычный 11 3 3 2 2" xfId="2431"/>
    <cellStyle name="Обычный 11 3 3 2 2 2" xfId="2432"/>
    <cellStyle name="Обычный 11 3 3 2 2 3" xfId="2433"/>
    <cellStyle name="Обычный 11 3 3 2 3" xfId="2434"/>
    <cellStyle name="Обычный 11 3 3 2 4" xfId="2435"/>
    <cellStyle name="Обычный 11 3 3 3" xfId="2436"/>
    <cellStyle name="Обычный 11 3 3 3 2" xfId="2437"/>
    <cellStyle name="Обычный 11 3 3 3 3" xfId="2438"/>
    <cellStyle name="Обычный 11 3 3 4" xfId="2439"/>
    <cellStyle name="Обычный 11 3 3 5" xfId="2440"/>
    <cellStyle name="Обычный 11 3 4" xfId="2441"/>
    <cellStyle name="Обычный 11 3 4 2" xfId="2442"/>
    <cellStyle name="Обычный 11 3 4 2 2" xfId="2443"/>
    <cellStyle name="Обычный 11 3 4 2 2 2" xfId="2444"/>
    <cellStyle name="Обычный 11 3 4 2 2 3" xfId="2445"/>
    <cellStyle name="Обычный 11 3 4 2 3" xfId="2446"/>
    <cellStyle name="Обычный 11 3 4 2 4" xfId="2447"/>
    <cellStyle name="Обычный 11 3 4 3" xfId="2448"/>
    <cellStyle name="Обычный 11 3 4 3 2" xfId="2449"/>
    <cellStyle name="Обычный 11 3 4 3 3" xfId="2450"/>
    <cellStyle name="Обычный 11 3 4 4" xfId="2451"/>
    <cellStyle name="Обычный 11 3 4 5" xfId="2452"/>
    <cellStyle name="Обычный 11 3 5" xfId="2453"/>
    <cellStyle name="Обычный 11 3 5 2" xfId="2454"/>
    <cellStyle name="Обычный 11 3 5 2 2" xfId="2455"/>
    <cellStyle name="Обычный 11 3 5 2 2 2" xfId="2456"/>
    <cellStyle name="Обычный 11 3 5 2 2 3" xfId="2457"/>
    <cellStyle name="Обычный 11 3 5 2 3" xfId="2458"/>
    <cellStyle name="Обычный 11 3 5 2 4" xfId="2459"/>
    <cellStyle name="Обычный 11 3 5 3" xfId="2460"/>
    <cellStyle name="Обычный 11 3 5 3 2" xfId="2461"/>
    <cellStyle name="Обычный 11 3 5 3 3" xfId="2462"/>
    <cellStyle name="Обычный 11 3 5 4" xfId="2463"/>
    <cellStyle name="Обычный 11 3 5 5" xfId="2464"/>
    <cellStyle name="Обычный 11 3 6" xfId="2465"/>
    <cellStyle name="Обычный 11 3 6 2" xfId="2466"/>
    <cellStyle name="Обычный 11 3 6 2 2" xfId="2467"/>
    <cellStyle name="Обычный 11 3 6 2 2 2" xfId="2468"/>
    <cellStyle name="Обычный 11 3 6 2 2 3" xfId="2469"/>
    <cellStyle name="Обычный 11 3 6 2 3" xfId="2470"/>
    <cellStyle name="Обычный 11 3 6 2 4" xfId="2471"/>
    <cellStyle name="Обычный 11 3 6 3" xfId="2472"/>
    <cellStyle name="Обычный 11 3 6 3 2" xfId="2473"/>
    <cellStyle name="Обычный 11 3 6 3 3" xfId="2474"/>
    <cellStyle name="Обычный 11 3 6 4" xfId="2475"/>
    <cellStyle name="Обычный 11 3 6 5" xfId="2476"/>
    <cellStyle name="Обычный 11 3 7" xfId="2477"/>
    <cellStyle name="Обычный 11 3 7 2" xfId="2478"/>
    <cellStyle name="Обычный 11 3 7 2 2" xfId="2479"/>
    <cellStyle name="Обычный 11 3 7 2 3" xfId="2480"/>
    <cellStyle name="Обычный 11 3 7 3" xfId="2481"/>
    <cellStyle name="Обычный 11 3 7 4" xfId="2482"/>
    <cellStyle name="Обычный 11 3 8" xfId="2483"/>
    <cellStyle name="Обычный 11 3 8 2" xfId="2484"/>
    <cellStyle name="Обычный 11 3 8 3" xfId="2485"/>
    <cellStyle name="Обычный 11 3 9" xfId="2486"/>
    <cellStyle name="Обычный 11 3_Расчет  30 млн_Технополис  Коренькова" xfId="2487"/>
    <cellStyle name="Обычный 11 4" xfId="2488"/>
    <cellStyle name="Обычный 11 4 10" xfId="2489"/>
    <cellStyle name="Обычный 11 4 2" xfId="2490"/>
    <cellStyle name="Обычный 11 4 2 2" xfId="2491"/>
    <cellStyle name="Обычный 11 4 2 2 2" xfId="2492"/>
    <cellStyle name="Обычный 11 4 2 2 2 2" xfId="2493"/>
    <cellStyle name="Обычный 11 4 2 2 2 3" xfId="2494"/>
    <cellStyle name="Обычный 11 4 2 2 3" xfId="2495"/>
    <cellStyle name="Обычный 11 4 2 2 4" xfId="2496"/>
    <cellStyle name="Обычный 11 4 2 3" xfId="2497"/>
    <cellStyle name="Обычный 11 4 2 3 2" xfId="2498"/>
    <cellStyle name="Обычный 11 4 2 3 3" xfId="2499"/>
    <cellStyle name="Обычный 11 4 2 4" xfId="2500"/>
    <cellStyle name="Обычный 11 4 2 5" xfId="2501"/>
    <cellStyle name="Обычный 11 4 3" xfId="2502"/>
    <cellStyle name="Обычный 11 4 3 2" xfId="2503"/>
    <cellStyle name="Обычный 11 4 3 2 2" xfId="2504"/>
    <cellStyle name="Обычный 11 4 3 2 2 2" xfId="2505"/>
    <cellStyle name="Обычный 11 4 3 2 2 3" xfId="2506"/>
    <cellStyle name="Обычный 11 4 3 2 3" xfId="2507"/>
    <cellStyle name="Обычный 11 4 3 2 4" xfId="2508"/>
    <cellStyle name="Обычный 11 4 3 3" xfId="2509"/>
    <cellStyle name="Обычный 11 4 3 3 2" xfId="2510"/>
    <cellStyle name="Обычный 11 4 3 3 3" xfId="2511"/>
    <cellStyle name="Обычный 11 4 3 4" xfId="2512"/>
    <cellStyle name="Обычный 11 4 3 5" xfId="2513"/>
    <cellStyle name="Обычный 11 4 4" xfId="2514"/>
    <cellStyle name="Обычный 11 4 4 2" xfId="2515"/>
    <cellStyle name="Обычный 11 4 4 2 2" xfId="2516"/>
    <cellStyle name="Обычный 11 4 4 2 2 2" xfId="2517"/>
    <cellStyle name="Обычный 11 4 4 2 2 3" xfId="2518"/>
    <cellStyle name="Обычный 11 4 4 2 3" xfId="2519"/>
    <cellStyle name="Обычный 11 4 4 2 4" xfId="2520"/>
    <cellStyle name="Обычный 11 4 4 3" xfId="2521"/>
    <cellStyle name="Обычный 11 4 4 3 2" xfId="2522"/>
    <cellStyle name="Обычный 11 4 4 3 3" xfId="2523"/>
    <cellStyle name="Обычный 11 4 4 4" xfId="2524"/>
    <cellStyle name="Обычный 11 4 4 5" xfId="2525"/>
    <cellStyle name="Обычный 11 4 5" xfId="2526"/>
    <cellStyle name="Обычный 11 4 5 2" xfId="2527"/>
    <cellStyle name="Обычный 11 4 5 2 2" xfId="2528"/>
    <cellStyle name="Обычный 11 4 5 2 2 2" xfId="2529"/>
    <cellStyle name="Обычный 11 4 5 2 2 3" xfId="2530"/>
    <cellStyle name="Обычный 11 4 5 2 3" xfId="2531"/>
    <cellStyle name="Обычный 11 4 5 2 4" xfId="2532"/>
    <cellStyle name="Обычный 11 4 5 3" xfId="2533"/>
    <cellStyle name="Обычный 11 4 5 3 2" xfId="2534"/>
    <cellStyle name="Обычный 11 4 5 3 3" xfId="2535"/>
    <cellStyle name="Обычный 11 4 5 4" xfId="2536"/>
    <cellStyle name="Обычный 11 4 5 5" xfId="2537"/>
    <cellStyle name="Обычный 11 4 6" xfId="2538"/>
    <cellStyle name="Обычный 11 4 6 2" xfId="2539"/>
    <cellStyle name="Обычный 11 4 6 2 2" xfId="2540"/>
    <cellStyle name="Обычный 11 4 6 2 2 2" xfId="2541"/>
    <cellStyle name="Обычный 11 4 6 2 2 3" xfId="2542"/>
    <cellStyle name="Обычный 11 4 6 2 3" xfId="2543"/>
    <cellStyle name="Обычный 11 4 6 2 4" xfId="2544"/>
    <cellStyle name="Обычный 11 4 6 3" xfId="2545"/>
    <cellStyle name="Обычный 11 4 6 3 2" xfId="2546"/>
    <cellStyle name="Обычный 11 4 6 3 3" xfId="2547"/>
    <cellStyle name="Обычный 11 4 6 4" xfId="2548"/>
    <cellStyle name="Обычный 11 4 6 5" xfId="2549"/>
    <cellStyle name="Обычный 11 4 7" xfId="2550"/>
    <cellStyle name="Обычный 11 4 7 2" xfId="2551"/>
    <cellStyle name="Обычный 11 4 7 2 2" xfId="2552"/>
    <cellStyle name="Обычный 11 4 7 2 3" xfId="2553"/>
    <cellStyle name="Обычный 11 4 7 3" xfId="2554"/>
    <cellStyle name="Обычный 11 4 7 4" xfId="2555"/>
    <cellStyle name="Обычный 11 4 8" xfId="2556"/>
    <cellStyle name="Обычный 11 4 8 2" xfId="2557"/>
    <cellStyle name="Обычный 11 4 8 3" xfId="2558"/>
    <cellStyle name="Обычный 11 4 9" xfId="2559"/>
    <cellStyle name="Обычный 11 4_Расчет  30 млн_Технополис  Коренькова" xfId="2560"/>
    <cellStyle name="Обычный 11 5" xfId="2561"/>
    <cellStyle name="Обычный 11 5 10" xfId="2562"/>
    <cellStyle name="Обычный 11 5 2" xfId="2563"/>
    <cellStyle name="Обычный 11 5 2 2" xfId="2564"/>
    <cellStyle name="Обычный 11 5 2 2 2" xfId="2565"/>
    <cellStyle name="Обычный 11 5 2 2 2 2" xfId="2566"/>
    <cellStyle name="Обычный 11 5 2 2 2 3" xfId="2567"/>
    <cellStyle name="Обычный 11 5 2 2 3" xfId="2568"/>
    <cellStyle name="Обычный 11 5 2 2 4" xfId="2569"/>
    <cellStyle name="Обычный 11 5 2 3" xfId="2570"/>
    <cellStyle name="Обычный 11 5 2 3 2" xfId="2571"/>
    <cellStyle name="Обычный 11 5 2 3 3" xfId="2572"/>
    <cellStyle name="Обычный 11 5 2 4" xfId="2573"/>
    <cellStyle name="Обычный 11 5 2 5" xfId="2574"/>
    <cellStyle name="Обычный 11 5 3" xfId="2575"/>
    <cellStyle name="Обычный 11 5 3 2" xfId="2576"/>
    <cellStyle name="Обычный 11 5 3 2 2" xfId="2577"/>
    <cellStyle name="Обычный 11 5 3 2 2 2" xfId="2578"/>
    <cellStyle name="Обычный 11 5 3 2 2 3" xfId="2579"/>
    <cellStyle name="Обычный 11 5 3 2 3" xfId="2580"/>
    <cellStyle name="Обычный 11 5 3 2 4" xfId="2581"/>
    <cellStyle name="Обычный 11 5 3 3" xfId="2582"/>
    <cellStyle name="Обычный 11 5 3 3 2" xfId="2583"/>
    <cellStyle name="Обычный 11 5 3 3 3" xfId="2584"/>
    <cellStyle name="Обычный 11 5 3 4" xfId="2585"/>
    <cellStyle name="Обычный 11 5 3 5" xfId="2586"/>
    <cellStyle name="Обычный 11 5 4" xfId="2587"/>
    <cellStyle name="Обычный 11 5 4 2" xfId="2588"/>
    <cellStyle name="Обычный 11 5 4 2 2" xfId="2589"/>
    <cellStyle name="Обычный 11 5 4 2 2 2" xfId="2590"/>
    <cellStyle name="Обычный 11 5 4 2 2 3" xfId="2591"/>
    <cellStyle name="Обычный 11 5 4 2 3" xfId="2592"/>
    <cellStyle name="Обычный 11 5 4 2 4" xfId="2593"/>
    <cellStyle name="Обычный 11 5 4 3" xfId="2594"/>
    <cellStyle name="Обычный 11 5 4 3 2" xfId="2595"/>
    <cellStyle name="Обычный 11 5 4 3 3" xfId="2596"/>
    <cellStyle name="Обычный 11 5 4 4" xfId="2597"/>
    <cellStyle name="Обычный 11 5 4 5" xfId="2598"/>
    <cellStyle name="Обычный 11 5 5" xfId="2599"/>
    <cellStyle name="Обычный 11 5 5 2" xfId="2600"/>
    <cellStyle name="Обычный 11 5 5 2 2" xfId="2601"/>
    <cellStyle name="Обычный 11 5 5 2 2 2" xfId="2602"/>
    <cellStyle name="Обычный 11 5 5 2 2 3" xfId="2603"/>
    <cellStyle name="Обычный 11 5 5 2 3" xfId="2604"/>
    <cellStyle name="Обычный 11 5 5 2 4" xfId="2605"/>
    <cellStyle name="Обычный 11 5 5 3" xfId="2606"/>
    <cellStyle name="Обычный 11 5 5 3 2" xfId="2607"/>
    <cellStyle name="Обычный 11 5 5 3 3" xfId="2608"/>
    <cellStyle name="Обычный 11 5 5 4" xfId="2609"/>
    <cellStyle name="Обычный 11 5 5 5" xfId="2610"/>
    <cellStyle name="Обычный 11 5 6" xfId="2611"/>
    <cellStyle name="Обычный 11 5 6 2" xfId="2612"/>
    <cellStyle name="Обычный 11 5 6 2 2" xfId="2613"/>
    <cellStyle name="Обычный 11 5 6 2 2 2" xfId="2614"/>
    <cellStyle name="Обычный 11 5 6 2 2 3" xfId="2615"/>
    <cellStyle name="Обычный 11 5 6 2 3" xfId="2616"/>
    <cellStyle name="Обычный 11 5 6 2 4" xfId="2617"/>
    <cellStyle name="Обычный 11 5 6 3" xfId="2618"/>
    <cellStyle name="Обычный 11 5 6 3 2" xfId="2619"/>
    <cellStyle name="Обычный 11 5 6 3 3" xfId="2620"/>
    <cellStyle name="Обычный 11 5 6 4" xfId="2621"/>
    <cellStyle name="Обычный 11 5 6 5" xfId="2622"/>
    <cellStyle name="Обычный 11 5 7" xfId="2623"/>
    <cellStyle name="Обычный 11 5 7 2" xfId="2624"/>
    <cellStyle name="Обычный 11 5 7 2 2" xfId="2625"/>
    <cellStyle name="Обычный 11 5 7 2 3" xfId="2626"/>
    <cellStyle name="Обычный 11 5 7 3" xfId="2627"/>
    <cellStyle name="Обычный 11 5 7 4" xfId="2628"/>
    <cellStyle name="Обычный 11 5 8" xfId="2629"/>
    <cellStyle name="Обычный 11 5 8 2" xfId="2630"/>
    <cellStyle name="Обычный 11 5 8 3" xfId="2631"/>
    <cellStyle name="Обычный 11 5 9" xfId="2632"/>
    <cellStyle name="Обычный 11 5_Расчет  30 млн_Технополис  Коренькова" xfId="2633"/>
    <cellStyle name="Обычный 11 6" xfId="2634"/>
    <cellStyle name="Обычный 11 6 2" xfId="2635"/>
    <cellStyle name="Обычный 11 6 2 2" xfId="2636"/>
    <cellStyle name="Обычный 11 6 2 2 2" xfId="2637"/>
    <cellStyle name="Обычный 11 6 2 2 3" xfId="2638"/>
    <cellStyle name="Обычный 11 6 2 3" xfId="2639"/>
    <cellStyle name="Обычный 11 6 2 4" xfId="2640"/>
    <cellStyle name="Обычный 11 6 3" xfId="2641"/>
    <cellStyle name="Обычный 11 6 3 2" xfId="2642"/>
    <cellStyle name="Обычный 11 6 3 3" xfId="2643"/>
    <cellStyle name="Обычный 11 6 4" xfId="2644"/>
    <cellStyle name="Обычный 11 6 5" xfId="2645"/>
    <cellStyle name="Обычный 11 7" xfId="2646"/>
    <cellStyle name="Обычный 11 7 2" xfId="2647"/>
    <cellStyle name="Обычный 11 7 2 2" xfId="2648"/>
    <cellStyle name="Обычный 11 7 2 2 2" xfId="2649"/>
    <cellStyle name="Обычный 11 7 2 2 3" xfId="2650"/>
    <cellStyle name="Обычный 11 7 2 3" xfId="2651"/>
    <cellStyle name="Обычный 11 7 2 4" xfId="2652"/>
    <cellStyle name="Обычный 11 7 3" xfId="2653"/>
    <cellStyle name="Обычный 11 7 3 2" xfId="2654"/>
    <cellStyle name="Обычный 11 7 3 3" xfId="2655"/>
    <cellStyle name="Обычный 11 7 4" xfId="2656"/>
    <cellStyle name="Обычный 11 7 5" xfId="2657"/>
    <cellStyle name="Обычный 11 8" xfId="2658"/>
    <cellStyle name="Обычный 11 8 2" xfId="2659"/>
    <cellStyle name="Обычный 11 8 2 2" xfId="2660"/>
    <cellStyle name="Обычный 11 8 2 2 2" xfId="2661"/>
    <cellStyle name="Обычный 11 8 2 2 3" xfId="2662"/>
    <cellStyle name="Обычный 11 8 2 3" xfId="2663"/>
    <cellStyle name="Обычный 11 8 2 4" xfId="2664"/>
    <cellStyle name="Обычный 11 8 3" xfId="2665"/>
    <cellStyle name="Обычный 11 8 3 2" xfId="2666"/>
    <cellStyle name="Обычный 11 8 3 3" xfId="2667"/>
    <cellStyle name="Обычный 11 8 4" xfId="2668"/>
    <cellStyle name="Обычный 11 8 5" xfId="2669"/>
    <cellStyle name="Обычный 11 9" xfId="2670"/>
    <cellStyle name="Обычный 11 9 2" xfId="2671"/>
    <cellStyle name="Обычный 11 9 2 2" xfId="2672"/>
    <cellStyle name="Обычный 11 9 2 2 2" xfId="2673"/>
    <cellStyle name="Обычный 11 9 2 2 3" xfId="2674"/>
    <cellStyle name="Обычный 11 9 2 3" xfId="2675"/>
    <cellStyle name="Обычный 11 9 2 4" xfId="2676"/>
    <cellStyle name="Обычный 11 9 3" xfId="2677"/>
    <cellStyle name="Обычный 11 9 3 2" xfId="2678"/>
    <cellStyle name="Обычный 11 9 3 3" xfId="2679"/>
    <cellStyle name="Обычный 11 9 4" xfId="2680"/>
    <cellStyle name="Обычный 11 9 5" xfId="2681"/>
    <cellStyle name="Обычный 11_1 ВАР. КП 1 293  +8пропорцЛара" xfId="2682"/>
    <cellStyle name="Обычный 12" xfId="2683"/>
    <cellStyle name="Обычный 12 10" xfId="2684"/>
    <cellStyle name="Обычный 12 10 2" xfId="2685"/>
    <cellStyle name="Обычный 12 10 2 2" xfId="2686"/>
    <cellStyle name="Обычный 12 10 2 2 2" xfId="2687"/>
    <cellStyle name="Обычный 12 10 2 2 3" xfId="2688"/>
    <cellStyle name="Обычный 12 10 2 3" xfId="2689"/>
    <cellStyle name="Обычный 12 10 2 4" xfId="2690"/>
    <cellStyle name="Обычный 12 10 3" xfId="2691"/>
    <cellStyle name="Обычный 12 10 3 2" xfId="2692"/>
    <cellStyle name="Обычный 12 10 3 3" xfId="2693"/>
    <cellStyle name="Обычный 12 10 4" xfId="2694"/>
    <cellStyle name="Обычный 12 10 5" xfId="2695"/>
    <cellStyle name="Обычный 12 11" xfId="2696"/>
    <cellStyle name="Обычный 12 11 2" xfId="2697"/>
    <cellStyle name="Обычный 12 11 2 2" xfId="2698"/>
    <cellStyle name="Обычный 12 11 2 3" xfId="2699"/>
    <cellStyle name="Обычный 12 11 3" xfId="2700"/>
    <cellStyle name="Обычный 12 11 4" xfId="2701"/>
    <cellStyle name="Обычный 12 12" xfId="2702"/>
    <cellStyle name="Обычный 12 12 2" xfId="2703"/>
    <cellStyle name="Обычный 12 12 3" xfId="2704"/>
    <cellStyle name="Обычный 12 13" xfId="2705"/>
    <cellStyle name="Обычный 12 14" xfId="2706"/>
    <cellStyle name="Обычный 12 2" xfId="2707"/>
    <cellStyle name="Обычный 12 2 10" xfId="2708"/>
    <cellStyle name="Обычный 12 2 2" xfId="2709"/>
    <cellStyle name="Обычный 12 2 2 2" xfId="2710"/>
    <cellStyle name="Обычный 12 2 2 2 2" xfId="2711"/>
    <cellStyle name="Обычный 12 2 2 2 2 2" xfId="2712"/>
    <cellStyle name="Обычный 12 2 2 2 2 3" xfId="2713"/>
    <cellStyle name="Обычный 12 2 2 2 3" xfId="2714"/>
    <cellStyle name="Обычный 12 2 2 2 4" xfId="2715"/>
    <cellStyle name="Обычный 12 2 2 3" xfId="2716"/>
    <cellStyle name="Обычный 12 2 2 3 2" xfId="2717"/>
    <cellStyle name="Обычный 12 2 2 3 3" xfId="2718"/>
    <cellStyle name="Обычный 12 2 2 4" xfId="2719"/>
    <cellStyle name="Обычный 12 2 2 5" xfId="2720"/>
    <cellStyle name="Обычный 12 2 3" xfId="2721"/>
    <cellStyle name="Обычный 12 2 3 2" xfId="2722"/>
    <cellStyle name="Обычный 12 2 3 2 2" xfId="2723"/>
    <cellStyle name="Обычный 12 2 3 2 2 2" xfId="2724"/>
    <cellStyle name="Обычный 12 2 3 2 2 3" xfId="2725"/>
    <cellStyle name="Обычный 12 2 3 2 3" xfId="2726"/>
    <cellStyle name="Обычный 12 2 3 2 4" xfId="2727"/>
    <cellStyle name="Обычный 12 2 3 3" xfId="2728"/>
    <cellStyle name="Обычный 12 2 3 3 2" xfId="2729"/>
    <cellStyle name="Обычный 12 2 3 3 3" xfId="2730"/>
    <cellStyle name="Обычный 12 2 3 4" xfId="2731"/>
    <cellStyle name="Обычный 12 2 3 5" xfId="2732"/>
    <cellStyle name="Обычный 12 2 4" xfId="2733"/>
    <cellStyle name="Обычный 12 2 4 2" xfId="2734"/>
    <cellStyle name="Обычный 12 2 4 2 2" xfId="2735"/>
    <cellStyle name="Обычный 12 2 4 2 2 2" xfId="2736"/>
    <cellStyle name="Обычный 12 2 4 2 2 3" xfId="2737"/>
    <cellStyle name="Обычный 12 2 4 2 3" xfId="2738"/>
    <cellStyle name="Обычный 12 2 4 2 4" xfId="2739"/>
    <cellStyle name="Обычный 12 2 4 3" xfId="2740"/>
    <cellStyle name="Обычный 12 2 4 3 2" xfId="2741"/>
    <cellStyle name="Обычный 12 2 4 3 3" xfId="2742"/>
    <cellStyle name="Обычный 12 2 4 4" xfId="2743"/>
    <cellStyle name="Обычный 12 2 4 5" xfId="2744"/>
    <cellStyle name="Обычный 12 2 5" xfId="2745"/>
    <cellStyle name="Обычный 12 2 5 2" xfId="2746"/>
    <cellStyle name="Обычный 12 2 5 2 2" xfId="2747"/>
    <cellStyle name="Обычный 12 2 5 2 2 2" xfId="2748"/>
    <cellStyle name="Обычный 12 2 5 2 2 3" xfId="2749"/>
    <cellStyle name="Обычный 12 2 5 2 3" xfId="2750"/>
    <cellStyle name="Обычный 12 2 5 2 4" xfId="2751"/>
    <cellStyle name="Обычный 12 2 5 3" xfId="2752"/>
    <cellStyle name="Обычный 12 2 5 3 2" xfId="2753"/>
    <cellStyle name="Обычный 12 2 5 3 3" xfId="2754"/>
    <cellStyle name="Обычный 12 2 5 4" xfId="2755"/>
    <cellStyle name="Обычный 12 2 5 5" xfId="2756"/>
    <cellStyle name="Обычный 12 2 6" xfId="2757"/>
    <cellStyle name="Обычный 12 2 6 2" xfId="2758"/>
    <cellStyle name="Обычный 12 2 6 2 2" xfId="2759"/>
    <cellStyle name="Обычный 12 2 6 2 2 2" xfId="2760"/>
    <cellStyle name="Обычный 12 2 6 2 2 3" xfId="2761"/>
    <cellStyle name="Обычный 12 2 6 2 3" xfId="2762"/>
    <cellStyle name="Обычный 12 2 6 2 4" xfId="2763"/>
    <cellStyle name="Обычный 12 2 6 3" xfId="2764"/>
    <cellStyle name="Обычный 12 2 6 3 2" xfId="2765"/>
    <cellStyle name="Обычный 12 2 6 3 3" xfId="2766"/>
    <cellStyle name="Обычный 12 2 6 4" xfId="2767"/>
    <cellStyle name="Обычный 12 2 6 5" xfId="2768"/>
    <cellStyle name="Обычный 12 2 7" xfId="2769"/>
    <cellStyle name="Обычный 12 2 7 2" xfId="2770"/>
    <cellStyle name="Обычный 12 2 7 2 2" xfId="2771"/>
    <cellStyle name="Обычный 12 2 7 2 3" xfId="2772"/>
    <cellStyle name="Обычный 12 2 7 3" xfId="2773"/>
    <cellStyle name="Обычный 12 2 7 4" xfId="2774"/>
    <cellStyle name="Обычный 12 2 8" xfId="2775"/>
    <cellStyle name="Обычный 12 2 8 2" xfId="2776"/>
    <cellStyle name="Обычный 12 2 8 3" xfId="2777"/>
    <cellStyle name="Обычный 12 2 9" xfId="2778"/>
    <cellStyle name="Обычный 12 2_Расчет  30 млн_Технополис  Коренькова" xfId="2779"/>
    <cellStyle name="Обычный 12 3" xfId="2780"/>
    <cellStyle name="Обычный 12 3 10" xfId="2781"/>
    <cellStyle name="Обычный 12 3 2" xfId="2782"/>
    <cellStyle name="Обычный 12 3 2 2" xfId="2783"/>
    <cellStyle name="Обычный 12 3 2 2 2" xfId="2784"/>
    <cellStyle name="Обычный 12 3 2 2 2 2" xfId="2785"/>
    <cellStyle name="Обычный 12 3 2 2 2 3" xfId="2786"/>
    <cellStyle name="Обычный 12 3 2 2 3" xfId="2787"/>
    <cellStyle name="Обычный 12 3 2 2 4" xfId="2788"/>
    <cellStyle name="Обычный 12 3 2 3" xfId="2789"/>
    <cellStyle name="Обычный 12 3 2 3 2" xfId="2790"/>
    <cellStyle name="Обычный 12 3 2 3 3" xfId="2791"/>
    <cellStyle name="Обычный 12 3 2 4" xfId="2792"/>
    <cellStyle name="Обычный 12 3 2 5" xfId="2793"/>
    <cellStyle name="Обычный 12 3 3" xfId="2794"/>
    <cellStyle name="Обычный 12 3 3 2" xfId="2795"/>
    <cellStyle name="Обычный 12 3 3 2 2" xfId="2796"/>
    <cellStyle name="Обычный 12 3 3 2 2 2" xfId="2797"/>
    <cellStyle name="Обычный 12 3 3 2 2 3" xfId="2798"/>
    <cellStyle name="Обычный 12 3 3 2 3" xfId="2799"/>
    <cellStyle name="Обычный 12 3 3 2 4" xfId="2800"/>
    <cellStyle name="Обычный 12 3 3 3" xfId="2801"/>
    <cellStyle name="Обычный 12 3 3 3 2" xfId="2802"/>
    <cellStyle name="Обычный 12 3 3 3 3" xfId="2803"/>
    <cellStyle name="Обычный 12 3 3 4" xfId="2804"/>
    <cellStyle name="Обычный 12 3 3 5" xfId="2805"/>
    <cellStyle name="Обычный 12 3 4" xfId="2806"/>
    <cellStyle name="Обычный 12 3 4 2" xfId="2807"/>
    <cellStyle name="Обычный 12 3 4 2 2" xfId="2808"/>
    <cellStyle name="Обычный 12 3 4 2 2 2" xfId="2809"/>
    <cellStyle name="Обычный 12 3 4 2 2 3" xfId="2810"/>
    <cellStyle name="Обычный 12 3 4 2 3" xfId="2811"/>
    <cellStyle name="Обычный 12 3 4 2 4" xfId="2812"/>
    <cellStyle name="Обычный 12 3 4 3" xfId="2813"/>
    <cellStyle name="Обычный 12 3 4 3 2" xfId="2814"/>
    <cellStyle name="Обычный 12 3 4 3 3" xfId="2815"/>
    <cellStyle name="Обычный 12 3 4 4" xfId="2816"/>
    <cellStyle name="Обычный 12 3 4 5" xfId="2817"/>
    <cellStyle name="Обычный 12 3 5" xfId="2818"/>
    <cellStyle name="Обычный 12 3 5 2" xfId="2819"/>
    <cellStyle name="Обычный 12 3 5 2 2" xfId="2820"/>
    <cellStyle name="Обычный 12 3 5 2 2 2" xfId="2821"/>
    <cellStyle name="Обычный 12 3 5 2 2 3" xfId="2822"/>
    <cellStyle name="Обычный 12 3 5 2 3" xfId="2823"/>
    <cellStyle name="Обычный 12 3 5 2 4" xfId="2824"/>
    <cellStyle name="Обычный 12 3 5 3" xfId="2825"/>
    <cellStyle name="Обычный 12 3 5 3 2" xfId="2826"/>
    <cellStyle name="Обычный 12 3 5 3 3" xfId="2827"/>
    <cellStyle name="Обычный 12 3 5 4" xfId="2828"/>
    <cellStyle name="Обычный 12 3 5 5" xfId="2829"/>
    <cellStyle name="Обычный 12 3 6" xfId="2830"/>
    <cellStyle name="Обычный 12 3 6 2" xfId="2831"/>
    <cellStyle name="Обычный 12 3 6 2 2" xfId="2832"/>
    <cellStyle name="Обычный 12 3 6 2 2 2" xfId="2833"/>
    <cellStyle name="Обычный 12 3 6 2 2 3" xfId="2834"/>
    <cellStyle name="Обычный 12 3 6 2 3" xfId="2835"/>
    <cellStyle name="Обычный 12 3 6 2 4" xfId="2836"/>
    <cellStyle name="Обычный 12 3 6 3" xfId="2837"/>
    <cellStyle name="Обычный 12 3 6 3 2" xfId="2838"/>
    <cellStyle name="Обычный 12 3 6 3 3" xfId="2839"/>
    <cellStyle name="Обычный 12 3 6 4" xfId="2840"/>
    <cellStyle name="Обычный 12 3 6 5" xfId="2841"/>
    <cellStyle name="Обычный 12 3 7" xfId="2842"/>
    <cellStyle name="Обычный 12 3 7 2" xfId="2843"/>
    <cellStyle name="Обычный 12 3 7 2 2" xfId="2844"/>
    <cellStyle name="Обычный 12 3 7 2 3" xfId="2845"/>
    <cellStyle name="Обычный 12 3 7 3" xfId="2846"/>
    <cellStyle name="Обычный 12 3 7 4" xfId="2847"/>
    <cellStyle name="Обычный 12 3 8" xfId="2848"/>
    <cellStyle name="Обычный 12 3 8 2" xfId="2849"/>
    <cellStyle name="Обычный 12 3 8 3" xfId="2850"/>
    <cellStyle name="Обычный 12 3 9" xfId="2851"/>
    <cellStyle name="Обычный 12 3_Расчет  30 млн_Технополис  Коренькова" xfId="2852"/>
    <cellStyle name="Обычный 12 4" xfId="2853"/>
    <cellStyle name="Обычный 12 4 10" xfId="2854"/>
    <cellStyle name="Обычный 12 4 2" xfId="2855"/>
    <cellStyle name="Обычный 12 4 2 2" xfId="2856"/>
    <cellStyle name="Обычный 12 4 2 2 2" xfId="2857"/>
    <cellStyle name="Обычный 12 4 2 2 2 2" xfId="2858"/>
    <cellStyle name="Обычный 12 4 2 2 2 3" xfId="2859"/>
    <cellStyle name="Обычный 12 4 2 2 3" xfId="2860"/>
    <cellStyle name="Обычный 12 4 2 2 4" xfId="2861"/>
    <cellStyle name="Обычный 12 4 2 3" xfId="2862"/>
    <cellStyle name="Обычный 12 4 2 3 2" xfId="2863"/>
    <cellStyle name="Обычный 12 4 2 3 3" xfId="2864"/>
    <cellStyle name="Обычный 12 4 2 4" xfId="2865"/>
    <cellStyle name="Обычный 12 4 2 5" xfId="2866"/>
    <cellStyle name="Обычный 12 4 3" xfId="2867"/>
    <cellStyle name="Обычный 12 4 3 2" xfId="2868"/>
    <cellStyle name="Обычный 12 4 3 2 2" xfId="2869"/>
    <cellStyle name="Обычный 12 4 3 2 2 2" xfId="2870"/>
    <cellStyle name="Обычный 12 4 3 2 2 3" xfId="2871"/>
    <cellStyle name="Обычный 12 4 3 2 3" xfId="2872"/>
    <cellStyle name="Обычный 12 4 3 2 4" xfId="2873"/>
    <cellStyle name="Обычный 12 4 3 3" xfId="2874"/>
    <cellStyle name="Обычный 12 4 3 3 2" xfId="2875"/>
    <cellStyle name="Обычный 12 4 3 3 3" xfId="2876"/>
    <cellStyle name="Обычный 12 4 3 4" xfId="2877"/>
    <cellStyle name="Обычный 12 4 3 5" xfId="2878"/>
    <cellStyle name="Обычный 12 4 4" xfId="2879"/>
    <cellStyle name="Обычный 12 4 4 2" xfId="2880"/>
    <cellStyle name="Обычный 12 4 4 2 2" xfId="2881"/>
    <cellStyle name="Обычный 12 4 4 2 2 2" xfId="2882"/>
    <cellStyle name="Обычный 12 4 4 2 2 3" xfId="2883"/>
    <cellStyle name="Обычный 12 4 4 2 3" xfId="2884"/>
    <cellStyle name="Обычный 12 4 4 2 4" xfId="2885"/>
    <cellStyle name="Обычный 12 4 4 3" xfId="2886"/>
    <cellStyle name="Обычный 12 4 4 3 2" xfId="2887"/>
    <cellStyle name="Обычный 12 4 4 3 3" xfId="2888"/>
    <cellStyle name="Обычный 12 4 4 4" xfId="2889"/>
    <cellStyle name="Обычный 12 4 4 5" xfId="2890"/>
    <cellStyle name="Обычный 12 4 5" xfId="2891"/>
    <cellStyle name="Обычный 12 4 5 2" xfId="2892"/>
    <cellStyle name="Обычный 12 4 5 2 2" xfId="2893"/>
    <cellStyle name="Обычный 12 4 5 2 2 2" xfId="2894"/>
    <cellStyle name="Обычный 12 4 5 2 2 3" xfId="2895"/>
    <cellStyle name="Обычный 12 4 5 2 3" xfId="2896"/>
    <cellStyle name="Обычный 12 4 5 2 4" xfId="2897"/>
    <cellStyle name="Обычный 12 4 5 3" xfId="2898"/>
    <cellStyle name="Обычный 12 4 5 3 2" xfId="2899"/>
    <cellStyle name="Обычный 12 4 5 3 3" xfId="2900"/>
    <cellStyle name="Обычный 12 4 5 4" xfId="2901"/>
    <cellStyle name="Обычный 12 4 5 5" xfId="2902"/>
    <cellStyle name="Обычный 12 4 6" xfId="2903"/>
    <cellStyle name="Обычный 12 4 6 2" xfId="2904"/>
    <cellStyle name="Обычный 12 4 6 2 2" xfId="2905"/>
    <cellStyle name="Обычный 12 4 6 2 2 2" xfId="2906"/>
    <cellStyle name="Обычный 12 4 6 2 2 3" xfId="2907"/>
    <cellStyle name="Обычный 12 4 6 2 3" xfId="2908"/>
    <cellStyle name="Обычный 12 4 6 2 4" xfId="2909"/>
    <cellStyle name="Обычный 12 4 6 3" xfId="2910"/>
    <cellStyle name="Обычный 12 4 6 3 2" xfId="2911"/>
    <cellStyle name="Обычный 12 4 6 3 3" xfId="2912"/>
    <cellStyle name="Обычный 12 4 6 4" xfId="2913"/>
    <cellStyle name="Обычный 12 4 6 5" xfId="2914"/>
    <cellStyle name="Обычный 12 4 7" xfId="2915"/>
    <cellStyle name="Обычный 12 4 7 2" xfId="2916"/>
    <cellStyle name="Обычный 12 4 7 2 2" xfId="2917"/>
    <cellStyle name="Обычный 12 4 7 2 3" xfId="2918"/>
    <cellStyle name="Обычный 12 4 7 3" xfId="2919"/>
    <cellStyle name="Обычный 12 4 7 4" xfId="2920"/>
    <cellStyle name="Обычный 12 4 8" xfId="2921"/>
    <cellStyle name="Обычный 12 4 8 2" xfId="2922"/>
    <cellStyle name="Обычный 12 4 8 3" xfId="2923"/>
    <cellStyle name="Обычный 12 4 9" xfId="2924"/>
    <cellStyle name="Обычный 12 4_Расчет  30 млн_Технополис  Коренькова" xfId="2925"/>
    <cellStyle name="Обычный 12 5" xfId="2926"/>
    <cellStyle name="Обычный 12 5 2" xfId="2927"/>
    <cellStyle name="Обычный 12 5 2 2" xfId="2928"/>
    <cellStyle name="Обычный 12 5 2 2 2" xfId="2929"/>
    <cellStyle name="Обычный 12 5 2 2 3" xfId="2930"/>
    <cellStyle name="Обычный 12 5 2 3" xfId="2931"/>
    <cellStyle name="Обычный 12 5 2 4" xfId="2932"/>
    <cellStyle name="Обычный 12 5 3" xfId="2933"/>
    <cellStyle name="Обычный 12 5 3 2" xfId="2934"/>
    <cellStyle name="Обычный 12 5 3 3" xfId="2935"/>
    <cellStyle name="Обычный 12 5 4" xfId="2936"/>
    <cellStyle name="Обычный 12 5 5" xfId="2937"/>
    <cellStyle name="Обычный 12 6" xfId="2938"/>
    <cellStyle name="Обычный 12 7" xfId="2939"/>
    <cellStyle name="Обычный 12 7 2" xfId="2940"/>
    <cellStyle name="Обычный 12 7 2 2" xfId="2941"/>
    <cellStyle name="Обычный 12 7 2 2 2" xfId="2942"/>
    <cellStyle name="Обычный 12 7 2 2 3" xfId="2943"/>
    <cellStyle name="Обычный 12 7 2 3" xfId="2944"/>
    <cellStyle name="Обычный 12 7 2 4" xfId="2945"/>
    <cellStyle name="Обычный 12 7 3" xfId="2946"/>
    <cellStyle name="Обычный 12 7 3 2" xfId="2947"/>
    <cellStyle name="Обычный 12 7 3 3" xfId="2948"/>
    <cellStyle name="Обычный 12 7 4" xfId="2949"/>
    <cellStyle name="Обычный 12 7 5" xfId="2950"/>
    <cellStyle name="Обычный 12 8" xfId="2951"/>
    <cellStyle name="Обычный 12 8 2" xfId="2952"/>
    <cellStyle name="Обычный 12 8 2 2" xfId="2953"/>
    <cellStyle name="Обычный 12 8 2 2 2" xfId="2954"/>
    <cellStyle name="Обычный 12 8 2 2 3" xfId="2955"/>
    <cellStyle name="Обычный 12 8 2 3" xfId="2956"/>
    <cellStyle name="Обычный 12 8 2 4" xfId="2957"/>
    <cellStyle name="Обычный 12 8 3" xfId="2958"/>
    <cellStyle name="Обычный 12 8 3 2" xfId="2959"/>
    <cellStyle name="Обычный 12 8 3 3" xfId="2960"/>
    <cellStyle name="Обычный 12 8 4" xfId="2961"/>
    <cellStyle name="Обычный 12 8 5" xfId="2962"/>
    <cellStyle name="Обычный 12 9" xfId="2963"/>
    <cellStyle name="Обычный 12 9 2" xfId="2964"/>
    <cellStyle name="Обычный 12 9 2 2" xfId="2965"/>
    <cellStyle name="Обычный 12 9 2 2 2" xfId="2966"/>
    <cellStyle name="Обычный 12 9 2 2 3" xfId="2967"/>
    <cellStyle name="Обычный 12 9 2 3" xfId="2968"/>
    <cellStyle name="Обычный 12 9 2 4" xfId="2969"/>
    <cellStyle name="Обычный 12 9 3" xfId="2970"/>
    <cellStyle name="Обычный 12 9 3 2" xfId="2971"/>
    <cellStyle name="Обычный 12 9 3 3" xfId="2972"/>
    <cellStyle name="Обычный 12 9 4" xfId="2973"/>
    <cellStyle name="Обычный 12 9 5" xfId="2974"/>
    <cellStyle name="Обычный 12_1 ВАР. КП 1 293  +8пропорцЛара" xfId="2975"/>
    <cellStyle name="Обычный 13" xfId="2976"/>
    <cellStyle name="Обычный 13 10" xfId="2977"/>
    <cellStyle name="Обычный 13 10 2" xfId="2978"/>
    <cellStyle name="Обычный 13 10 2 2" xfId="2979"/>
    <cellStyle name="Обычный 13 10 2 2 2" xfId="2980"/>
    <cellStyle name="Обычный 13 10 2 2 3" xfId="2981"/>
    <cellStyle name="Обычный 13 10 2 3" xfId="2982"/>
    <cellStyle name="Обычный 13 10 2 4" xfId="2983"/>
    <cellStyle name="Обычный 13 10 3" xfId="2984"/>
    <cellStyle name="Обычный 13 10 3 2" xfId="2985"/>
    <cellStyle name="Обычный 13 10 3 3" xfId="2986"/>
    <cellStyle name="Обычный 13 10 4" xfId="2987"/>
    <cellStyle name="Обычный 13 10 5" xfId="2988"/>
    <cellStyle name="Обычный 13 11" xfId="2989"/>
    <cellStyle name="Обычный 13 11 2" xfId="2990"/>
    <cellStyle name="Обычный 13 11 2 2" xfId="2991"/>
    <cellStyle name="Обычный 13 11 2 3" xfId="2992"/>
    <cellStyle name="Обычный 13 11 3" xfId="2993"/>
    <cellStyle name="Обычный 13 11 4" xfId="2994"/>
    <cellStyle name="Обычный 13 12" xfId="2995"/>
    <cellStyle name="Обычный 13 12 2" xfId="2996"/>
    <cellStyle name="Обычный 13 12 3" xfId="2997"/>
    <cellStyle name="Обычный 13 13" xfId="2998"/>
    <cellStyle name="Обычный 13 14" xfId="2999"/>
    <cellStyle name="Обычный 13 2" xfId="3000"/>
    <cellStyle name="Обычный 13 2 10" xfId="3001"/>
    <cellStyle name="Обычный 13 2 2" xfId="3002"/>
    <cellStyle name="Обычный 13 2 2 2" xfId="3003"/>
    <cellStyle name="Обычный 13 2 2 2 2" xfId="3004"/>
    <cellStyle name="Обычный 13 2 2 2 2 2" xfId="3005"/>
    <cellStyle name="Обычный 13 2 2 2 2 3" xfId="3006"/>
    <cellStyle name="Обычный 13 2 2 2 3" xfId="3007"/>
    <cellStyle name="Обычный 13 2 2 2 4" xfId="3008"/>
    <cellStyle name="Обычный 13 2 2 3" xfId="3009"/>
    <cellStyle name="Обычный 13 2 2 3 2" xfId="3010"/>
    <cellStyle name="Обычный 13 2 2 3 3" xfId="3011"/>
    <cellStyle name="Обычный 13 2 2 4" xfId="3012"/>
    <cellStyle name="Обычный 13 2 2 5" xfId="3013"/>
    <cellStyle name="Обычный 13 2 3" xfId="3014"/>
    <cellStyle name="Обычный 13 2 3 2" xfId="3015"/>
    <cellStyle name="Обычный 13 2 3 2 2" xfId="3016"/>
    <cellStyle name="Обычный 13 2 3 2 2 2" xfId="3017"/>
    <cellStyle name="Обычный 13 2 3 2 2 3" xfId="3018"/>
    <cellStyle name="Обычный 13 2 3 2 3" xfId="3019"/>
    <cellStyle name="Обычный 13 2 3 2 4" xfId="3020"/>
    <cellStyle name="Обычный 13 2 3 3" xfId="3021"/>
    <cellStyle name="Обычный 13 2 3 3 2" xfId="3022"/>
    <cellStyle name="Обычный 13 2 3 3 3" xfId="3023"/>
    <cellStyle name="Обычный 13 2 3 4" xfId="3024"/>
    <cellStyle name="Обычный 13 2 3 5" xfId="3025"/>
    <cellStyle name="Обычный 13 2 4" xfId="3026"/>
    <cellStyle name="Обычный 13 2 4 2" xfId="3027"/>
    <cellStyle name="Обычный 13 2 4 2 2" xfId="3028"/>
    <cellStyle name="Обычный 13 2 4 2 2 2" xfId="3029"/>
    <cellStyle name="Обычный 13 2 4 2 2 3" xfId="3030"/>
    <cellStyle name="Обычный 13 2 4 2 3" xfId="3031"/>
    <cellStyle name="Обычный 13 2 4 2 4" xfId="3032"/>
    <cellStyle name="Обычный 13 2 4 3" xfId="3033"/>
    <cellStyle name="Обычный 13 2 4 3 2" xfId="3034"/>
    <cellStyle name="Обычный 13 2 4 3 3" xfId="3035"/>
    <cellStyle name="Обычный 13 2 4 4" xfId="3036"/>
    <cellStyle name="Обычный 13 2 4 5" xfId="3037"/>
    <cellStyle name="Обычный 13 2 5" xfId="3038"/>
    <cellStyle name="Обычный 13 2 5 2" xfId="3039"/>
    <cellStyle name="Обычный 13 2 5 2 2" xfId="3040"/>
    <cellStyle name="Обычный 13 2 5 2 2 2" xfId="3041"/>
    <cellStyle name="Обычный 13 2 5 2 2 3" xfId="3042"/>
    <cellStyle name="Обычный 13 2 5 2 3" xfId="3043"/>
    <cellStyle name="Обычный 13 2 5 2 4" xfId="3044"/>
    <cellStyle name="Обычный 13 2 5 3" xfId="3045"/>
    <cellStyle name="Обычный 13 2 5 3 2" xfId="3046"/>
    <cellStyle name="Обычный 13 2 5 3 3" xfId="3047"/>
    <cellStyle name="Обычный 13 2 5 4" xfId="3048"/>
    <cellStyle name="Обычный 13 2 5 5" xfId="3049"/>
    <cellStyle name="Обычный 13 2 6" xfId="3050"/>
    <cellStyle name="Обычный 13 2 6 2" xfId="3051"/>
    <cellStyle name="Обычный 13 2 6 2 2" xfId="3052"/>
    <cellStyle name="Обычный 13 2 6 2 2 2" xfId="3053"/>
    <cellStyle name="Обычный 13 2 6 2 2 3" xfId="3054"/>
    <cellStyle name="Обычный 13 2 6 2 3" xfId="3055"/>
    <cellStyle name="Обычный 13 2 6 2 4" xfId="3056"/>
    <cellStyle name="Обычный 13 2 6 3" xfId="3057"/>
    <cellStyle name="Обычный 13 2 6 3 2" xfId="3058"/>
    <cellStyle name="Обычный 13 2 6 3 3" xfId="3059"/>
    <cellStyle name="Обычный 13 2 6 4" xfId="3060"/>
    <cellStyle name="Обычный 13 2 6 5" xfId="3061"/>
    <cellStyle name="Обычный 13 2 7" xfId="3062"/>
    <cellStyle name="Обычный 13 2 7 2" xfId="3063"/>
    <cellStyle name="Обычный 13 2 7 2 2" xfId="3064"/>
    <cellStyle name="Обычный 13 2 7 2 3" xfId="3065"/>
    <cellStyle name="Обычный 13 2 7 3" xfId="3066"/>
    <cellStyle name="Обычный 13 2 7 4" xfId="3067"/>
    <cellStyle name="Обычный 13 2 8" xfId="3068"/>
    <cellStyle name="Обычный 13 2 8 2" xfId="3069"/>
    <cellStyle name="Обычный 13 2 8 3" xfId="3070"/>
    <cellStyle name="Обычный 13 2 9" xfId="3071"/>
    <cellStyle name="Обычный 13 2_Расчет  30 млн_Технополис  Коренькова" xfId="3072"/>
    <cellStyle name="Обычный 13 3" xfId="3073"/>
    <cellStyle name="Обычный 13 3 10" xfId="3074"/>
    <cellStyle name="Обычный 13 3 2" xfId="3075"/>
    <cellStyle name="Обычный 13 3 2 2" xfId="3076"/>
    <cellStyle name="Обычный 13 3 2 2 2" xfId="3077"/>
    <cellStyle name="Обычный 13 3 2 2 2 2" xfId="3078"/>
    <cellStyle name="Обычный 13 3 2 2 2 3" xfId="3079"/>
    <cellStyle name="Обычный 13 3 2 2 3" xfId="3080"/>
    <cellStyle name="Обычный 13 3 2 2 4" xfId="3081"/>
    <cellStyle name="Обычный 13 3 2 3" xfId="3082"/>
    <cellStyle name="Обычный 13 3 2 3 2" xfId="3083"/>
    <cellStyle name="Обычный 13 3 2 3 3" xfId="3084"/>
    <cellStyle name="Обычный 13 3 2 4" xfId="3085"/>
    <cellStyle name="Обычный 13 3 2 5" xfId="3086"/>
    <cellStyle name="Обычный 13 3 3" xfId="3087"/>
    <cellStyle name="Обычный 13 3 3 2" xfId="3088"/>
    <cellStyle name="Обычный 13 3 3 2 2" xfId="3089"/>
    <cellStyle name="Обычный 13 3 3 2 2 2" xfId="3090"/>
    <cellStyle name="Обычный 13 3 3 2 2 3" xfId="3091"/>
    <cellStyle name="Обычный 13 3 3 2 3" xfId="3092"/>
    <cellStyle name="Обычный 13 3 3 2 4" xfId="3093"/>
    <cellStyle name="Обычный 13 3 3 3" xfId="3094"/>
    <cellStyle name="Обычный 13 3 3 3 2" xfId="3095"/>
    <cellStyle name="Обычный 13 3 3 3 3" xfId="3096"/>
    <cellStyle name="Обычный 13 3 3 4" xfId="3097"/>
    <cellStyle name="Обычный 13 3 3 5" xfId="3098"/>
    <cellStyle name="Обычный 13 3 4" xfId="3099"/>
    <cellStyle name="Обычный 13 3 4 2" xfId="3100"/>
    <cellStyle name="Обычный 13 3 4 2 2" xfId="3101"/>
    <cellStyle name="Обычный 13 3 4 2 2 2" xfId="3102"/>
    <cellStyle name="Обычный 13 3 4 2 2 3" xfId="3103"/>
    <cellStyle name="Обычный 13 3 4 2 3" xfId="3104"/>
    <cellStyle name="Обычный 13 3 4 2 4" xfId="3105"/>
    <cellStyle name="Обычный 13 3 4 3" xfId="3106"/>
    <cellStyle name="Обычный 13 3 4 3 2" xfId="3107"/>
    <cellStyle name="Обычный 13 3 4 3 3" xfId="3108"/>
    <cellStyle name="Обычный 13 3 4 4" xfId="3109"/>
    <cellStyle name="Обычный 13 3 4 5" xfId="3110"/>
    <cellStyle name="Обычный 13 3 5" xfId="3111"/>
    <cellStyle name="Обычный 13 3 5 2" xfId="3112"/>
    <cellStyle name="Обычный 13 3 5 2 2" xfId="3113"/>
    <cellStyle name="Обычный 13 3 5 2 2 2" xfId="3114"/>
    <cellStyle name="Обычный 13 3 5 2 2 3" xfId="3115"/>
    <cellStyle name="Обычный 13 3 5 2 3" xfId="3116"/>
    <cellStyle name="Обычный 13 3 5 2 4" xfId="3117"/>
    <cellStyle name="Обычный 13 3 5 3" xfId="3118"/>
    <cellStyle name="Обычный 13 3 5 3 2" xfId="3119"/>
    <cellStyle name="Обычный 13 3 5 3 3" xfId="3120"/>
    <cellStyle name="Обычный 13 3 5 4" xfId="3121"/>
    <cellStyle name="Обычный 13 3 5 5" xfId="3122"/>
    <cellStyle name="Обычный 13 3 6" xfId="3123"/>
    <cellStyle name="Обычный 13 3 6 2" xfId="3124"/>
    <cellStyle name="Обычный 13 3 6 2 2" xfId="3125"/>
    <cellStyle name="Обычный 13 3 6 2 2 2" xfId="3126"/>
    <cellStyle name="Обычный 13 3 6 2 2 3" xfId="3127"/>
    <cellStyle name="Обычный 13 3 6 2 3" xfId="3128"/>
    <cellStyle name="Обычный 13 3 6 2 4" xfId="3129"/>
    <cellStyle name="Обычный 13 3 6 3" xfId="3130"/>
    <cellStyle name="Обычный 13 3 6 3 2" xfId="3131"/>
    <cellStyle name="Обычный 13 3 6 3 3" xfId="3132"/>
    <cellStyle name="Обычный 13 3 6 4" xfId="3133"/>
    <cellStyle name="Обычный 13 3 6 5" xfId="3134"/>
    <cellStyle name="Обычный 13 3 7" xfId="3135"/>
    <cellStyle name="Обычный 13 3 7 2" xfId="3136"/>
    <cellStyle name="Обычный 13 3 7 2 2" xfId="3137"/>
    <cellStyle name="Обычный 13 3 7 2 3" xfId="3138"/>
    <cellStyle name="Обычный 13 3 7 3" xfId="3139"/>
    <cellStyle name="Обычный 13 3 7 4" xfId="3140"/>
    <cellStyle name="Обычный 13 3 8" xfId="3141"/>
    <cellStyle name="Обычный 13 3 8 2" xfId="3142"/>
    <cellStyle name="Обычный 13 3 8 3" xfId="3143"/>
    <cellStyle name="Обычный 13 3 9" xfId="3144"/>
    <cellStyle name="Обычный 13 3_Расчет  30 млн_Технополис  Коренькова" xfId="3145"/>
    <cellStyle name="Обычный 13 4" xfId="3146"/>
    <cellStyle name="Обычный 13 4 10" xfId="3147"/>
    <cellStyle name="Обычный 13 4 2" xfId="3148"/>
    <cellStyle name="Обычный 13 4 2 2" xfId="3149"/>
    <cellStyle name="Обычный 13 4 2 2 2" xfId="3150"/>
    <cellStyle name="Обычный 13 4 2 2 2 2" xfId="3151"/>
    <cellStyle name="Обычный 13 4 2 2 2 3" xfId="3152"/>
    <cellStyle name="Обычный 13 4 2 2 3" xfId="3153"/>
    <cellStyle name="Обычный 13 4 2 2 4" xfId="3154"/>
    <cellStyle name="Обычный 13 4 2 3" xfId="3155"/>
    <cellStyle name="Обычный 13 4 2 3 2" xfId="3156"/>
    <cellStyle name="Обычный 13 4 2 3 3" xfId="3157"/>
    <cellStyle name="Обычный 13 4 2 4" xfId="3158"/>
    <cellStyle name="Обычный 13 4 2 5" xfId="3159"/>
    <cellStyle name="Обычный 13 4 3" xfId="3160"/>
    <cellStyle name="Обычный 13 4 3 2" xfId="3161"/>
    <cellStyle name="Обычный 13 4 3 2 2" xfId="3162"/>
    <cellStyle name="Обычный 13 4 3 2 2 2" xfId="3163"/>
    <cellStyle name="Обычный 13 4 3 2 2 3" xfId="3164"/>
    <cellStyle name="Обычный 13 4 3 2 3" xfId="3165"/>
    <cellStyle name="Обычный 13 4 3 2 4" xfId="3166"/>
    <cellStyle name="Обычный 13 4 3 3" xfId="3167"/>
    <cellStyle name="Обычный 13 4 3 3 2" xfId="3168"/>
    <cellStyle name="Обычный 13 4 3 3 3" xfId="3169"/>
    <cellStyle name="Обычный 13 4 3 4" xfId="3170"/>
    <cellStyle name="Обычный 13 4 3 5" xfId="3171"/>
    <cellStyle name="Обычный 13 4 4" xfId="3172"/>
    <cellStyle name="Обычный 13 4 4 2" xfId="3173"/>
    <cellStyle name="Обычный 13 4 4 2 2" xfId="3174"/>
    <cellStyle name="Обычный 13 4 4 2 2 2" xfId="3175"/>
    <cellStyle name="Обычный 13 4 4 2 2 3" xfId="3176"/>
    <cellStyle name="Обычный 13 4 4 2 3" xfId="3177"/>
    <cellStyle name="Обычный 13 4 4 2 4" xfId="3178"/>
    <cellStyle name="Обычный 13 4 4 3" xfId="3179"/>
    <cellStyle name="Обычный 13 4 4 3 2" xfId="3180"/>
    <cellStyle name="Обычный 13 4 4 3 3" xfId="3181"/>
    <cellStyle name="Обычный 13 4 4 4" xfId="3182"/>
    <cellStyle name="Обычный 13 4 4 5" xfId="3183"/>
    <cellStyle name="Обычный 13 4 5" xfId="3184"/>
    <cellStyle name="Обычный 13 4 5 2" xfId="3185"/>
    <cellStyle name="Обычный 13 4 5 2 2" xfId="3186"/>
    <cellStyle name="Обычный 13 4 5 2 2 2" xfId="3187"/>
    <cellStyle name="Обычный 13 4 5 2 2 3" xfId="3188"/>
    <cellStyle name="Обычный 13 4 5 2 3" xfId="3189"/>
    <cellStyle name="Обычный 13 4 5 2 4" xfId="3190"/>
    <cellStyle name="Обычный 13 4 5 3" xfId="3191"/>
    <cellStyle name="Обычный 13 4 5 3 2" xfId="3192"/>
    <cellStyle name="Обычный 13 4 5 3 3" xfId="3193"/>
    <cellStyle name="Обычный 13 4 5 4" xfId="3194"/>
    <cellStyle name="Обычный 13 4 5 5" xfId="3195"/>
    <cellStyle name="Обычный 13 4 6" xfId="3196"/>
    <cellStyle name="Обычный 13 4 6 2" xfId="3197"/>
    <cellStyle name="Обычный 13 4 6 2 2" xfId="3198"/>
    <cellStyle name="Обычный 13 4 6 2 2 2" xfId="3199"/>
    <cellStyle name="Обычный 13 4 6 2 2 3" xfId="3200"/>
    <cellStyle name="Обычный 13 4 6 2 3" xfId="3201"/>
    <cellStyle name="Обычный 13 4 6 2 4" xfId="3202"/>
    <cellStyle name="Обычный 13 4 6 3" xfId="3203"/>
    <cellStyle name="Обычный 13 4 6 3 2" xfId="3204"/>
    <cellStyle name="Обычный 13 4 6 3 3" xfId="3205"/>
    <cellStyle name="Обычный 13 4 6 4" xfId="3206"/>
    <cellStyle name="Обычный 13 4 6 5" xfId="3207"/>
    <cellStyle name="Обычный 13 4 7" xfId="3208"/>
    <cellStyle name="Обычный 13 4 7 2" xfId="3209"/>
    <cellStyle name="Обычный 13 4 7 2 2" xfId="3210"/>
    <cellStyle name="Обычный 13 4 7 2 3" xfId="3211"/>
    <cellStyle name="Обычный 13 4 7 3" xfId="3212"/>
    <cellStyle name="Обычный 13 4 7 4" xfId="3213"/>
    <cellStyle name="Обычный 13 4 8" xfId="3214"/>
    <cellStyle name="Обычный 13 4 8 2" xfId="3215"/>
    <cellStyle name="Обычный 13 4 8 3" xfId="3216"/>
    <cellStyle name="Обычный 13 4 9" xfId="3217"/>
    <cellStyle name="Обычный 13 4_Расчет  30 млн_Технополис  Коренькова" xfId="3218"/>
    <cellStyle name="Обычный 13 5" xfId="3219"/>
    <cellStyle name="Обычный 13 5 10" xfId="3220"/>
    <cellStyle name="Обычный 13 5 2" xfId="3221"/>
    <cellStyle name="Обычный 13 5 2 2" xfId="3222"/>
    <cellStyle name="Обычный 13 5 2 2 2" xfId="3223"/>
    <cellStyle name="Обычный 13 5 2 2 2 2" xfId="3224"/>
    <cellStyle name="Обычный 13 5 2 2 2 3" xfId="3225"/>
    <cellStyle name="Обычный 13 5 2 2 3" xfId="3226"/>
    <cellStyle name="Обычный 13 5 2 2 4" xfId="3227"/>
    <cellStyle name="Обычный 13 5 2 3" xfId="3228"/>
    <cellStyle name="Обычный 13 5 2 3 2" xfId="3229"/>
    <cellStyle name="Обычный 13 5 2 3 3" xfId="3230"/>
    <cellStyle name="Обычный 13 5 2 4" xfId="3231"/>
    <cellStyle name="Обычный 13 5 2 5" xfId="3232"/>
    <cellStyle name="Обычный 13 5 3" xfId="3233"/>
    <cellStyle name="Обычный 13 5 3 2" xfId="3234"/>
    <cellStyle name="Обычный 13 5 3 2 2" xfId="3235"/>
    <cellStyle name="Обычный 13 5 3 2 2 2" xfId="3236"/>
    <cellStyle name="Обычный 13 5 3 2 2 3" xfId="3237"/>
    <cellStyle name="Обычный 13 5 3 2 3" xfId="3238"/>
    <cellStyle name="Обычный 13 5 3 2 4" xfId="3239"/>
    <cellStyle name="Обычный 13 5 3 3" xfId="3240"/>
    <cellStyle name="Обычный 13 5 3 3 2" xfId="3241"/>
    <cellStyle name="Обычный 13 5 3 3 3" xfId="3242"/>
    <cellStyle name="Обычный 13 5 3 4" xfId="3243"/>
    <cellStyle name="Обычный 13 5 3 5" xfId="3244"/>
    <cellStyle name="Обычный 13 5 4" xfId="3245"/>
    <cellStyle name="Обычный 13 5 4 2" xfId="3246"/>
    <cellStyle name="Обычный 13 5 4 2 2" xfId="3247"/>
    <cellStyle name="Обычный 13 5 4 2 2 2" xfId="3248"/>
    <cellStyle name="Обычный 13 5 4 2 2 3" xfId="3249"/>
    <cellStyle name="Обычный 13 5 4 2 3" xfId="3250"/>
    <cellStyle name="Обычный 13 5 4 2 4" xfId="3251"/>
    <cellStyle name="Обычный 13 5 4 3" xfId="3252"/>
    <cellStyle name="Обычный 13 5 4 3 2" xfId="3253"/>
    <cellStyle name="Обычный 13 5 4 3 3" xfId="3254"/>
    <cellStyle name="Обычный 13 5 4 4" xfId="3255"/>
    <cellStyle name="Обычный 13 5 4 5" xfId="3256"/>
    <cellStyle name="Обычный 13 5 5" xfId="3257"/>
    <cellStyle name="Обычный 13 5 5 2" xfId="3258"/>
    <cellStyle name="Обычный 13 5 5 2 2" xfId="3259"/>
    <cellStyle name="Обычный 13 5 5 2 2 2" xfId="3260"/>
    <cellStyle name="Обычный 13 5 5 2 2 3" xfId="3261"/>
    <cellStyle name="Обычный 13 5 5 2 3" xfId="3262"/>
    <cellStyle name="Обычный 13 5 5 2 4" xfId="3263"/>
    <cellStyle name="Обычный 13 5 5 3" xfId="3264"/>
    <cellStyle name="Обычный 13 5 5 3 2" xfId="3265"/>
    <cellStyle name="Обычный 13 5 5 3 3" xfId="3266"/>
    <cellStyle name="Обычный 13 5 5 4" xfId="3267"/>
    <cellStyle name="Обычный 13 5 5 5" xfId="3268"/>
    <cellStyle name="Обычный 13 5 6" xfId="3269"/>
    <cellStyle name="Обычный 13 5 6 2" xfId="3270"/>
    <cellStyle name="Обычный 13 5 6 2 2" xfId="3271"/>
    <cellStyle name="Обычный 13 5 6 2 2 2" xfId="3272"/>
    <cellStyle name="Обычный 13 5 6 2 2 3" xfId="3273"/>
    <cellStyle name="Обычный 13 5 6 2 3" xfId="3274"/>
    <cellStyle name="Обычный 13 5 6 2 4" xfId="3275"/>
    <cellStyle name="Обычный 13 5 6 3" xfId="3276"/>
    <cellStyle name="Обычный 13 5 6 3 2" xfId="3277"/>
    <cellStyle name="Обычный 13 5 6 3 3" xfId="3278"/>
    <cellStyle name="Обычный 13 5 6 4" xfId="3279"/>
    <cellStyle name="Обычный 13 5 6 5" xfId="3280"/>
    <cellStyle name="Обычный 13 5 7" xfId="3281"/>
    <cellStyle name="Обычный 13 5 7 2" xfId="3282"/>
    <cellStyle name="Обычный 13 5 7 2 2" xfId="3283"/>
    <cellStyle name="Обычный 13 5 7 2 3" xfId="3284"/>
    <cellStyle name="Обычный 13 5 7 3" xfId="3285"/>
    <cellStyle name="Обычный 13 5 7 4" xfId="3286"/>
    <cellStyle name="Обычный 13 5 8" xfId="3287"/>
    <cellStyle name="Обычный 13 5 8 2" xfId="3288"/>
    <cellStyle name="Обычный 13 5 8 3" xfId="3289"/>
    <cellStyle name="Обычный 13 5 9" xfId="3290"/>
    <cellStyle name="Обычный 13 5_Расчет  30 млн_Технополис  Коренькова" xfId="3291"/>
    <cellStyle name="Обычный 13 6" xfId="3292"/>
    <cellStyle name="Обычный 13 6 2" xfId="3293"/>
    <cellStyle name="Обычный 13 6 2 2" xfId="3294"/>
    <cellStyle name="Обычный 13 6 2 2 2" xfId="3295"/>
    <cellStyle name="Обычный 13 6 2 2 3" xfId="3296"/>
    <cellStyle name="Обычный 13 6 2 3" xfId="3297"/>
    <cellStyle name="Обычный 13 6 2 4" xfId="3298"/>
    <cellStyle name="Обычный 13 6 3" xfId="3299"/>
    <cellStyle name="Обычный 13 6 3 2" xfId="3300"/>
    <cellStyle name="Обычный 13 6 3 3" xfId="3301"/>
    <cellStyle name="Обычный 13 6 4" xfId="3302"/>
    <cellStyle name="Обычный 13 6 5" xfId="3303"/>
    <cellStyle name="Обычный 13 7" xfId="3304"/>
    <cellStyle name="Обычный 13 7 2" xfId="3305"/>
    <cellStyle name="Обычный 13 7 2 2" xfId="3306"/>
    <cellStyle name="Обычный 13 7 2 2 2" xfId="3307"/>
    <cellStyle name="Обычный 13 7 2 2 3" xfId="3308"/>
    <cellStyle name="Обычный 13 7 2 3" xfId="3309"/>
    <cellStyle name="Обычный 13 7 2 4" xfId="3310"/>
    <cellStyle name="Обычный 13 7 3" xfId="3311"/>
    <cellStyle name="Обычный 13 7 3 2" xfId="3312"/>
    <cellStyle name="Обычный 13 7 3 3" xfId="3313"/>
    <cellStyle name="Обычный 13 7 4" xfId="3314"/>
    <cellStyle name="Обычный 13 7 5" xfId="3315"/>
    <cellStyle name="Обычный 13 8" xfId="3316"/>
    <cellStyle name="Обычный 13 8 2" xfId="3317"/>
    <cellStyle name="Обычный 13 8 2 2" xfId="3318"/>
    <cellStyle name="Обычный 13 8 2 2 2" xfId="3319"/>
    <cellStyle name="Обычный 13 8 2 2 3" xfId="3320"/>
    <cellStyle name="Обычный 13 8 2 3" xfId="3321"/>
    <cellStyle name="Обычный 13 8 2 4" xfId="3322"/>
    <cellStyle name="Обычный 13 8 3" xfId="3323"/>
    <cellStyle name="Обычный 13 8 3 2" xfId="3324"/>
    <cellStyle name="Обычный 13 8 3 3" xfId="3325"/>
    <cellStyle name="Обычный 13 8 4" xfId="3326"/>
    <cellStyle name="Обычный 13 8 5" xfId="3327"/>
    <cellStyle name="Обычный 13 9" xfId="3328"/>
    <cellStyle name="Обычный 13 9 2" xfId="3329"/>
    <cellStyle name="Обычный 13 9 2 2" xfId="3330"/>
    <cellStyle name="Обычный 13 9 2 2 2" xfId="3331"/>
    <cellStyle name="Обычный 13 9 2 2 3" xfId="3332"/>
    <cellStyle name="Обычный 13 9 2 3" xfId="3333"/>
    <cellStyle name="Обычный 13 9 2 4" xfId="3334"/>
    <cellStyle name="Обычный 13 9 3" xfId="3335"/>
    <cellStyle name="Обычный 13 9 3 2" xfId="3336"/>
    <cellStyle name="Обычный 13 9 3 3" xfId="3337"/>
    <cellStyle name="Обычный 13 9 4" xfId="3338"/>
    <cellStyle name="Обычный 13 9 5" xfId="3339"/>
    <cellStyle name="Обычный 13_1 ВАР. КП 1 293  +8пропорцЛара" xfId="3340"/>
    <cellStyle name="Обычный 14" xfId="3341"/>
    <cellStyle name="Обычный 14 10" xfId="3342"/>
    <cellStyle name="Обычный 14 10 2" xfId="3343"/>
    <cellStyle name="Обычный 14 10 2 2" xfId="3344"/>
    <cellStyle name="Обычный 14 10 2 3" xfId="3345"/>
    <cellStyle name="Обычный 14 10 3" xfId="3346"/>
    <cellStyle name="Обычный 14 10 4" xfId="3347"/>
    <cellStyle name="Обычный 14 11" xfId="3348"/>
    <cellStyle name="Обычный 14 11 2" xfId="3349"/>
    <cellStyle name="Обычный 14 11 3" xfId="3350"/>
    <cellStyle name="Обычный 14 12" xfId="3351"/>
    <cellStyle name="Обычный 14 13" xfId="3352"/>
    <cellStyle name="Обычный 14 2" xfId="3353"/>
    <cellStyle name="Обычный 14 2 10" xfId="3354"/>
    <cellStyle name="Обычный 14 2 2" xfId="3355"/>
    <cellStyle name="Обычный 14 2 2 2" xfId="3356"/>
    <cellStyle name="Обычный 14 2 2 2 2" xfId="3357"/>
    <cellStyle name="Обычный 14 2 2 2 2 2" xfId="3358"/>
    <cellStyle name="Обычный 14 2 2 2 2 3" xfId="3359"/>
    <cellStyle name="Обычный 14 2 2 2 3" xfId="3360"/>
    <cellStyle name="Обычный 14 2 2 2 4" xfId="3361"/>
    <cellStyle name="Обычный 14 2 2 3" xfId="3362"/>
    <cellStyle name="Обычный 14 2 2 3 2" xfId="3363"/>
    <cellStyle name="Обычный 14 2 2 3 3" xfId="3364"/>
    <cellStyle name="Обычный 14 2 2 4" xfId="3365"/>
    <cellStyle name="Обычный 14 2 2 5" xfId="3366"/>
    <cellStyle name="Обычный 14 2 3" xfId="3367"/>
    <cellStyle name="Обычный 14 2 3 2" xfId="3368"/>
    <cellStyle name="Обычный 14 2 3 2 2" xfId="3369"/>
    <cellStyle name="Обычный 14 2 3 2 2 2" xfId="3370"/>
    <cellStyle name="Обычный 14 2 3 2 2 3" xfId="3371"/>
    <cellStyle name="Обычный 14 2 3 2 3" xfId="3372"/>
    <cellStyle name="Обычный 14 2 3 2 4" xfId="3373"/>
    <cellStyle name="Обычный 14 2 3 3" xfId="3374"/>
    <cellStyle name="Обычный 14 2 3 3 2" xfId="3375"/>
    <cellStyle name="Обычный 14 2 3 3 3" xfId="3376"/>
    <cellStyle name="Обычный 14 2 3 4" xfId="3377"/>
    <cellStyle name="Обычный 14 2 3 5" xfId="3378"/>
    <cellStyle name="Обычный 14 2 4" xfId="3379"/>
    <cellStyle name="Обычный 14 2 4 2" xfId="3380"/>
    <cellStyle name="Обычный 14 2 4 2 2" xfId="3381"/>
    <cellStyle name="Обычный 14 2 4 2 2 2" xfId="3382"/>
    <cellStyle name="Обычный 14 2 4 2 2 3" xfId="3383"/>
    <cellStyle name="Обычный 14 2 4 2 3" xfId="3384"/>
    <cellStyle name="Обычный 14 2 4 2 4" xfId="3385"/>
    <cellStyle name="Обычный 14 2 4 3" xfId="3386"/>
    <cellStyle name="Обычный 14 2 4 3 2" xfId="3387"/>
    <cellStyle name="Обычный 14 2 4 3 3" xfId="3388"/>
    <cellStyle name="Обычный 14 2 4 4" xfId="3389"/>
    <cellStyle name="Обычный 14 2 4 5" xfId="3390"/>
    <cellStyle name="Обычный 14 2 5" xfId="3391"/>
    <cellStyle name="Обычный 14 2 5 2" xfId="3392"/>
    <cellStyle name="Обычный 14 2 5 2 2" xfId="3393"/>
    <cellStyle name="Обычный 14 2 5 2 2 2" xfId="3394"/>
    <cellStyle name="Обычный 14 2 5 2 2 3" xfId="3395"/>
    <cellStyle name="Обычный 14 2 5 2 3" xfId="3396"/>
    <cellStyle name="Обычный 14 2 5 2 4" xfId="3397"/>
    <cellStyle name="Обычный 14 2 5 3" xfId="3398"/>
    <cellStyle name="Обычный 14 2 5 3 2" xfId="3399"/>
    <cellStyle name="Обычный 14 2 5 3 3" xfId="3400"/>
    <cellStyle name="Обычный 14 2 5 4" xfId="3401"/>
    <cellStyle name="Обычный 14 2 5 5" xfId="3402"/>
    <cellStyle name="Обычный 14 2 6" xfId="3403"/>
    <cellStyle name="Обычный 14 2 6 2" xfId="3404"/>
    <cellStyle name="Обычный 14 2 6 2 2" xfId="3405"/>
    <cellStyle name="Обычный 14 2 6 2 2 2" xfId="3406"/>
    <cellStyle name="Обычный 14 2 6 2 2 3" xfId="3407"/>
    <cellStyle name="Обычный 14 2 6 2 3" xfId="3408"/>
    <cellStyle name="Обычный 14 2 6 2 4" xfId="3409"/>
    <cellStyle name="Обычный 14 2 6 3" xfId="3410"/>
    <cellStyle name="Обычный 14 2 6 3 2" xfId="3411"/>
    <cellStyle name="Обычный 14 2 6 3 3" xfId="3412"/>
    <cellStyle name="Обычный 14 2 6 4" xfId="3413"/>
    <cellStyle name="Обычный 14 2 6 5" xfId="3414"/>
    <cellStyle name="Обычный 14 2 7" xfId="3415"/>
    <cellStyle name="Обычный 14 2 7 2" xfId="3416"/>
    <cellStyle name="Обычный 14 2 7 2 2" xfId="3417"/>
    <cellStyle name="Обычный 14 2 7 2 3" xfId="3418"/>
    <cellStyle name="Обычный 14 2 7 3" xfId="3419"/>
    <cellStyle name="Обычный 14 2 7 4" xfId="3420"/>
    <cellStyle name="Обычный 14 2 8" xfId="3421"/>
    <cellStyle name="Обычный 14 2 8 2" xfId="3422"/>
    <cellStyle name="Обычный 14 2 8 3" xfId="3423"/>
    <cellStyle name="Обычный 14 2 9" xfId="3424"/>
    <cellStyle name="Обычный 14 2_Расчет  30 млн_Технополис  Коренькова" xfId="3425"/>
    <cellStyle name="Обычный 14 3" xfId="3426"/>
    <cellStyle name="Обычный 14 3 10" xfId="3427"/>
    <cellStyle name="Обычный 14 3 2" xfId="3428"/>
    <cellStyle name="Обычный 14 3 2 2" xfId="3429"/>
    <cellStyle name="Обычный 14 3 2 2 2" xfId="3430"/>
    <cellStyle name="Обычный 14 3 2 2 2 2" xfId="3431"/>
    <cellStyle name="Обычный 14 3 2 2 2 3" xfId="3432"/>
    <cellStyle name="Обычный 14 3 2 2 3" xfId="3433"/>
    <cellStyle name="Обычный 14 3 2 2 4" xfId="3434"/>
    <cellStyle name="Обычный 14 3 2 3" xfId="3435"/>
    <cellStyle name="Обычный 14 3 2 3 2" xfId="3436"/>
    <cellStyle name="Обычный 14 3 2 3 3" xfId="3437"/>
    <cellStyle name="Обычный 14 3 2 4" xfId="3438"/>
    <cellStyle name="Обычный 14 3 2 5" xfId="3439"/>
    <cellStyle name="Обычный 14 3 3" xfId="3440"/>
    <cellStyle name="Обычный 14 3 3 2" xfId="3441"/>
    <cellStyle name="Обычный 14 3 3 2 2" xfId="3442"/>
    <cellStyle name="Обычный 14 3 3 2 2 2" xfId="3443"/>
    <cellStyle name="Обычный 14 3 3 2 2 3" xfId="3444"/>
    <cellStyle name="Обычный 14 3 3 2 3" xfId="3445"/>
    <cellStyle name="Обычный 14 3 3 2 4" xfId="3446"/>
    <cellStyle name="Обычный 14 3 3 3" xfId="3447"/>
    <cellStyle name="Обычный 14 3 3 3 2" xfId="3448"/>
    <cellStyle name="Обычный 14 3 3 3 3" xfId="3449"/>
    <cellStyle name="Обычный 14 3 3 4" xfId="3450"/>
    <cellStyle name="Обычный 14 3 3 5" xfId="3451"/>
    <cellStyle name="Обычный 14 3 4" xfId="3452"/>
    <cellStyle name="Обычный 14 3 4 2" xfId="3453"/>
    <cellStyle name="Обычный 14 3 4 2 2" xfId="3454"/>
    <cellStyle name="Обычный 14 3 4 2 2 2" xfId="3455"/>
    <cellStyle name="Обычный 14 3 4 2 2 3" xfId="3456"/>
    <cellStyle name="Обычный 14 3 4 2 3" xfId="3457"/>
    <cellStyle name="Обычный 14 3 4 2 4" xfId="3458"/>
    <cellStyle name="Обычный 14 3 4 3" xfId="3459"/>
    <cellStyle name="Обычный 14 3 4 3 2" xfId="3460"/>
    <cellStyle name="Обычный 14 3 4 3 3" xfId="3461"/>
    <cellStyle name="Обычный 14 3 4 4" xfId="3462"/>
    <cellStyle name="Обычный 14 3 4 5" xfId="3463"/>
    <cellStyle name="Обычный 14 3 5" xfId="3464"/>
    <cellStyle name="Обычный 14 3 5 2" xfId="3465"/>
    <cellStyle name="Обычный 14 3 5 2 2" xfId="3466"/>
    <cellStyle name="Обычный 14 3 5 2 2 2" xfId="3467"/>
    <cellStyle name="Обычный 14 3 5 2 2 3" xfId="3468"/>
    <cellStyle name="Обычный 14 3 5 2 3" xfId="3469"/>
    <cellStyle name="Обычный 14 3 5 2 4" xfId="3470"/>
    <cellStyle name="Обычный 14 3 5 3" xfId="3471"/>
    <cellStyle name="Обычный 14 3 5 3 2" xfId="3472"/>
    <cellStyle name="Обычный 14 3 5 3 3" xfId="3473"/>
    <cellStyle name="Обычный 14 3 5 4" xfId="3474"/>
    <cellStyle name="Обычный 14 3 5 5" xfId="3475"/>
    <cellStyle name="Обычный 14 3 6" xfId="3476"/>
    <cellStyle name="Обычный 14 3 6 2" xfId="3477"/>
    <cellStyle name="Обычный 14 3 6 2 2" xfId="3478"/>
    <cellStyle name="Обычный 14 3 6 2 2 2" xfId="3479"/>
    <cellStyle name="Обычный 14 3 6 2 2 3" xfId="3480"/>
    <cellStyle name="Обычный 14 3 6 2 3" xfId="3481"/>
    <cellStyle name="Обычный 14 3 6 2 4" xfId="3482"/>
    <cellStyle name="Обычный 14 3 6 3" xfId="3483"/>
    <cellStyle name="Обычный 14 3 6 3 2" xfId="3484"/>
    <cellStyle name="Обычный 14 3 6 3 3" xfId="3485"/>
    <cellStyle name="Обычный 14 3 6 4" xfId="3486"/>
    <cellStyle name="Обычный 14 3 6 5" xfId="3487"/>
    <cellStyle name="Обычный 14 3 7" xfId="3488"/>
    <cellStyle name="Обычный 14 3 7 2" xfId="3489"/>
    <cellStyle name="Обычный 14 3 7 2 2" xfId="3490"/>
    <cellStyle name="Обычный 14 3 7 2 3" xfId="3491"/>
    <cellStyle name="Обычный 14 3 7 3" xfId="3492"/>
    <cellStyle name="Обычный 14 3 7 4" xfId="3493"/>
    <cellStyle name="Обычный 14 3 8" xfId="3494"/>
    <cellStyle name="Обычный 14 3 8 2" xfId="3495"/>
    <cellStyle name="Обычный 14 3 8 3" xfId="3496"/>
    <cellStyle name="Обычный 14 3 9" xfId="3497"/>
    <cellStyle name="Обычный 14 3_Расчет  30 млн_Технополис  Коренькова" xfId="3498"/>
    <cellStyle name="Обычный 14 4" xfId="3499"/>
    <cellStyle name="Обычный 14 4 10" xfId="3500"/>
    <cellStyle name="Обычный 14 4 2" xfId="3501"/>
    <cellStyle name="Обычный 14 4 2 2" xfId="3502"/>
    <cellStyle name="Обычный 14 4 2 2 2" xfId="3503"/>
    <cellStyle name="Обычный 14 4 2 2 2 2" xfId="3504"/>
    <cellStyle name="Обычный 14 4 2 2 2 3" xfId="3505"/>
    <cellStyle name="Обычный 14 4 2 2 3" xfId="3506"/>
    <cellStyle name="Обычный 14 4 2 2 4" xfId="3507"/>
    <cellStyle name="Обычный 14 4 2 3" xfId="3508"/>
    <cellStyle name="Обычный 14 4 2 3 2" xfId="3509"/>
    <cellStyle name="Обычный 14 4 2 3 3" xfId="3510"/>
    <cellStyle name="Обычный 14 4 2 4" xfId="3511"/>
    <cellStyle name="Обычный 14 4 2 5" xfId="3512"/>
    <cellStyle name="Обычный 14 4 3" xfId="3513"/>
    <cellStyle name="Обычный 14 4 3 2" xfId="3514"/>
    <cellStyle name="Обычный 14 4 3 2 2" xfId="3515"/>
    <cellStyle name="Обычный 14 4 3 2 2 2" xfId="3516"/>
    <cellStyle name="Обычный 14 4 3 2 2 3" xfId="3517"/>
    <cellStyle name="Обычный 14 4 3 2 3" xfId="3518"/>
    <cellStyle name="Обычный 14 4 3 2 4" xfId="3519"/>
    <cellStyle name="Обычный 14 4 3 3" xfId="3520"/>
    <cellStyle name="Обычный 14 4 3 3 2" xfId="3521"/>
    <cellStyle name="Обычный 14 4 3 3 3" xfId="3522"/>
    <cellStyle name="Обычный 14 4 3 4" xfId="3523"/>
    <cellStyle name="Обычный 14 4 3 5" xfId="3524"/>
    <cellStyle name="Обычный 14 4 4" xfId="3525"/>
    <cellStyle name="Обычный 14 4 4 2" xfId="3526"/>
    <cellStyle name="Обычный 14 4 4 2 2" xfId="3527"/>
    <cellStyle name="Обычный 14 4 4 2 2 2" xfId="3528"/>
    <cellStyle name="Обычный 14 4 4 2 2 3" xfId="3529"/>
    <cellStyle name="Обычный 14 4 4 2 3" xfId="3530"/>
    <cellStyle name="Обычный 14 4 4 2 4" xfId="3531"/>
    <cellStyle name="Обычный 14 4 4 3" xfId="3532"/>
    <cellStyle name="Обычный 14 4 4 3 2" xfId="3533"/>
    <cellStyle name="Обычный 14 4 4 3 3" xfId="3534"/>
    <cellStyle name="Обычный 14 4 4 4" xfId="3535"/>
    <cellStyle name="Обычный 14 4 4 5" xfId="3536"/>
    <cellStyle name="Обычный 14 4 5" xfId="3537"/>
    <cellStyle name="Обычный 14 4 5 2" xfId="3538"/>
    <cellStyle name="Обычный 14 4 5 2 2" xfId="3539"/>
    <cellStyle name="Обычный 14 4 5 2 2 2" xfId="3540"/>
    <cellStyle name="Обычный 14 4 5 2 2 3" xfId="3541"/>
    <cellStyle name="Обычный 14 4 5 2 3" xfId="3542"/>
    <cellStyle name="Обычный 14 4 5 2 4" xfId="3543"/>
    <cellStyle name="Обычный 14 4 5 3" xfId="3544"/>
    <cellStyle name="Обычный 14 4 5 3 2" xfId="3545"/>
    <cellStyle name="Обычный 14 4 5 3 3" xfId="3546"/>
    <cellStyle name="Обычный 14 4 5 4" xfId="3547"/>
    <cellStyle name="Обычный 14 4 5 5" xfId="3548"/>
    <cellStyle name="Обычный 14 4 6" xfId="3549"/>
    <cellStyle name="Обычный 14 4 6 2" xfId="3550"/>
    <cellStyle name="Обычный 14 4 6 2 2" xfId="3551"/>
    <cellStyle name="Обычный 14 4 6 2 2 2" xfId="3552"/>
    <cellStyle name="Обычный 14 4 6 2 2 3" xfId="3553"/>
    <cellStyle name="Обычный 14 4 6 2 3" xfId="3554"/>
    <cellStyle name="Обычный 14 4 6 2 4" xfId="3555"/>
    <cellStyle name="Обычный 14 4 6 3" xfId="3556"/>
    <cellStyle name="Обычный 14 4 6 3 2" xfId="3557"/>
    <cellStyle name="Обычный 14 4 6 3 3" xfId="3558"/>
    <cellStyle name="Обычный 14 4 6 4" xfId="3559"/>
    <cellStyle name="Обычный 14 4 6 5" xfId="3560"/>
    <cellStyle name="Обычный 14 4 7" xfId="3561"/>
    <cellStyle name="Обычный 14 4 7 2" xfId="3562"/>
    <cellStyle name="Обычный 14 4 7 2 2" xfId="3563"/>
    <cellStyle name="Обычный 14 4 7 2 3" xfId="3564"/>
    <cellStyle name="Обычный 14 4 7 3" xfId="3565"/>
    <cellStyle name="Обычный 14 4 7 4" xfId="3566"/>
    <cellStyle name="Обычный 14 4 8" xfId="3567"/>
    <cellStyle name="Обычный 14 4 8 2" xfId="3568"/>
    <cellStyle name="Обычный 14 4 8 3" xfId="3569"/>
    <cellStyle name="Обычный 14 4 9" xfId="3570"/>
    <cellStyle name="Обычный 14 4_Расчет  30 млн_Технополис  Коренькова" xfId="3571"/>
    <cellStyle name="Обычный 14 5" xfId="3572"/>
    <cellStyle name="Обычный 14 5 2" xfId="3573"/>
    <cellStyle name="Обычный 14 5 2 2" xfId="3574"/>
    <cellStyle name="Обычный 14 5 2 2 2" xfId="3575"/>
    <cellStyle name="Обычный 14 5 2 2 3" xfId="3576"/>
    <cellStyle name="Обычный 14 5 2 3" xfId="3577"/>
    <cellStyle name="Обычный 14 5 2 4" xfId="3578"/>
    <cellStyle name="Обычный 14 5 3" xfId="3579"/>
    <cellStyle name="Обычный 14 5 3 2" xfId="3580"/>
    <cellStyle name="Обычный 14 5 3 3" xfId="3581"/>
    <cellStyle name="Обычный 14 5 4" xfId="3582"/>
    <cellStyle name="Обычный 14 5 5" xfId="3583"/>
    <cellStyle name="Обычный 14 6" xfId="3584"/>
    <cellStyle name="Обычный 14 6 2" xfId="3585"/>
    <cellStyle name="Обычный 14 6 2 2" xfId="3586"/>
    <cellStyle name="Обычный 14 6 2 2 2" xfId="3587"/>
    <cellStyle name="Обычный 14 6 2 2 3" xfId="3588"/>
    <cellStyle name="Обычный 14 6 2 3" xfId="3589"/>
    <cellStyle name="Обычный 14 6 2 4" xfId="3590"/>
    <cellStyle name="Обычный 14 6 3" xfId="3591"/>
    <cellStyle name="Обычный 14 6 3 2" xfId="3592"/>
    <cellStyle name="Обычный 14 6 3 3" xfId="3593"/>
    <cellStyle name="Обычный 14 6 4" xfId="3594"/>
    <cellStyle name="Обычный 14 6 5" xfId="3595"/>
    <cellStyle name="Обычный 14 7" xfId="3596"/>
    <cellStyle name="Обычный 14 7 2" xfId="3597"/>
    <cellStyle name="Обычный 14 7 2 2" xfId="3598"/>
    <cellStyle name="Обычный 14 7 2 2 2" xfId="3599"/>
    <cellStyle name="Обычный 14 7 2 2 3" xfId="3600"/>
    <cellStyle name="Обычный 14 7 2 3" xfId="3601"/>
    <cellStyle name="Обычный 14 7 2 4" xfId="3602"/>
    <cellStyle name="Обычный 14 7 3" xfId="3603"/>
    <cellStyle name="Обычный 14 7 3 2" xfId="3604"/>
    <cellStyle name="Обычный 14 7 3 3" xfId="3605"/>
    <cellStyle name="Обычный 14 7 4" xfId="3606"/>
    <cellStyle name="Обычный 14 7 5" xfId="3607"/>
    <cellStyle name="Обычный 14 8" xfId="3608"/>
    <cellStyle name="Обычный 14 8 2" xfId="3609"/>
    <cellStyle name="Обычный 14 8 2 2" xfId="3610"/>
    <cellStyle name="Обычный 14 8 2 2 2" xfId="3611"/>
    <cellStyle name="Обычный 14 8 2 2 3" xfId="3612"/>
    <cellStyle name="Обычный 14 8 2 3" xfId="3613"/>
    <cellStyle name="Обычный 14 8 2 4" xfId="3614"/>
    <cellStyle name="Обычный 14 8 3" xfId="3615"/>
    <cellStyle name="Обычный 14 8 3 2" xfId="3616"/>
    <cellStyle name="Обычный 14 8 3 3" xfId="3617"/>
    <cellStyle name="Обычный 14 8 4" xfId="3618"/>
    <cellStyle name="Обычный 14 8 5" xfId="3619"/>
    <cellStyle name="Обычный 14 9" xfId="3620"/>
    <cellStyle name="Обычный 14 9 2" xfId="3621"/>
    <cellStyle name="Обычный 14 9 2 2" xfId="3622"/>
    <cellStyle name="Обычный 14 9 2 2 2" xfId="3623"/>
    <cellStyle name="Обычный 14 9 2 2 3" xfId="3624"/>
    <cellStyle name="Обычный 14 9 2 3" xfId="3625"/>
    <cellStyle name="Обычный 14 9 2 4" xfId="3626"/>
    <cellStyle name="Обычный 14 9 3" xfId="3627"/>
    <cellStyle name="Обычный 14 9 3 2" xfId="3628"/>
    <cellStyle name="Обычный 14 9 3 3" xfId="3629"/>
    <cellStyle name="Обычный 14 9 4" xfId="3630"/>
    <cellStyle name="Обычный 14 9 5" xfId="3631"/>
    <cellStyle name="Обычный 14_1 ВАР. КП 1 293  +8пропорцЛара" xfId="3632"/>
    <cellStyle name="Обычный 15" xfId="3633"/>
    <cellStyle name="Обычный 15 10" xfId="3634"/>
    <cellStyle name="Обычный 15 2" xfId="3635"/>
    <cellStyle name="Обычный 15 2 2" xfId="3636"/>
    <cellStyle name="Обычный 15 2 2 2" xfId="3637"/>
    <cellStyle name="Обычный 15 2 3" xfId="3638"/>
    <cellStyle name="Обычный 15 2 3 2" xfId="3639"/>
    <cellStyle name="Обычный 15 2 3 2 2" xfId="3640"/>
    <cellStyle name="Обычный 15 2 3 2 3" xfId="3641"/>
    <cellStyle name="Обычный 15 2 3 3" xfId="3642"/>
    <cellStyle name="Обычный 15 2 3 4" xfId="3643"/>
    <cellStyle name="Обычный 15 2 4" xfId="3644"/>
    <cellStyle name="Обычный 15 2 4 2" xfId="3645"/>
    <cellStyle name="Обычный 15 2 4 3" xfId="3646"/>
    <cellStyle name="Обычный 15 2 5" xfId="3647"/>
    <cellStyle name="Обычный 15 2 6" xfId="3648"/>
    <cellStyle name="Обычный 15 2_Расчет  30 млн_Технополис  Коренькова" xfId="3649"/>
    <cellStyle name="Обычный 15 3" xfId="3650"/>
    <cellStyle name="Обычный 15 3 2" xfId="3651"/>
    <cellStyle name="Обычный 15 3 2 2" xfId="3652"/>
    <cellStyle name="Обычный 15 3 2 2 2" xfId="3653"/>
    <cellStyle name="Обычный 15 3 2 2 3" xfId="3654"/>
    <cellStyle name="Обычный 15 3 2 3" xfId="3655"/>
    <cellStyle name="Обычный 15 3 2 4" xfId="3656"/>
    <cellStyle name="Обычный 15 3 3" xfId="3657"/>
    <cellStyle name="Обычный 15 3 3 2" xfId="3658"/>
    <cellStyle name="Обычный 15 3 3 3" xfId="3659"/>
    <cellStyle name="Обычный 15 3 4" xfId="3660"/>
    <cellStyle name="Обычный 15 3 5" xfId="3661"/>
    <cellStyle name="Обычный 15 4" xfId="3662"/>
    <cellStyle name="Обычный 15 4 2" xfId="3663"/>
    <cellStyle name="Обычный 15 4 2 2" xfId="3664"/>
    <cellStyle name="Обычный 15 4 2 2 2" xfId="3665"/>
    <cellStyle name="Обычный 15 4 2 2 3" xfId="3666"/>
    <cellStyle name="Обычный 15 4 2 3" xfId="3667"/>
    <cellStyle name="Обычный 15 4 2 4" xfId="3668"/>
    <cellStyle name="Обычный 15 4 3" xfId="3669"/>
    <cellStyle name="Обычный 15 4 3 2" xfId="3670"/>
    <cellStyle name="Обычный 15 4 3 3" xfId="3671"/>
    <cellStyle name="Обычный 15 4 4" xfId="3672"/>
    <cellStyle name="Обычный 15 4 5" xfId="3673"/>
    <cellStyle name="Обычный 15 5" xfId="3674"/>
    <cellStyle name="Обычный 15 5 2" xfId="3675"/>
    <cellStyle name="Обычный 15 5 2 2" xfId="3676"/>
    <cellStyle name="Обычный 15 5 2 2 2" xfId="3677"/>
    <cellStyle name="Обычный 15 5 2 2 3" xfId="3678"/>
    <cellStyle name="Обычный 15 5 2 3" xfId="3679"/>
    <cellStyle name="Обычный 15 5 2 4" xfId="3680"/>
    <cellStyle name="Обычный 15 5 3" xfId="3681"/>
    <cellStyle name="Обычный 15 5 3 2" xfId="3682"/>
    <cellStyle name="Обычный 15 5 3 3" xfId="3683"/>
    <cellStyle name="Обычный 15 5 4" xfId="3684"/>
    <cellStyle name="Обычный 15 5 5" xfId="3685"/>
    <cellStyle name="Обычный 15 6" xfId="3686"/>
    <cellStyle name="Обычный 15 6 2" xfId="3687"/>
    <cellStyle name="Обычный 15 6 2 2" xfId="3688"/>
    <cellStyle name="Обычный 15 6 2 2 2" xfId="3689"/>
    <cellStyle name="Обычный 15 6 2 2 3" xfId="3690"/>
    <cellStyle name="Обычный 15 6 2 3" xfId="3691"/>
    <cellStyle name="Обычный 15 6 2 4" xfId="3692"/>
    <cellStyle name="Обычный 15 6 3" xfId="3693"/>
    <cellStyle name="Обычный 15 6 3 2" xfId="3694"/>
    <cellStyle name="Обычный 15 6 3 3" xfId="3695"/>
    <cellStyle name="Обычный 15 6 4" xfId="3696"/>
    <cellStyle name="Обычный 15 6 5" xfId="3697"/>
    <cellStyle name="Обычный 15 7" xfId="3698"/>
    <cellStyle name="Обычный 15 7 2" xfId="3699"/>
    <cellStyle name="Обычный 15 7 2 2" xfId="3700"/>
    <cellStyle name="Обычный 15 7 2 3" xfId="3701"/>
    <cellStyle name="Обычный 15 7 3" xfId="3702"/>
    <cellStyle name="Обычный 15 7 4" xfId="3703"/>
    <cellStyle name="Обычный 15 8" xfId="3704"/>
    <cellStyle name="Обычный 15 8 2" xfId="3705"/>
    <cellStyle name="Обычный 15 8 3" xfId="3706"/>
    <cellStyle name="Обычный 15 9" xfId="3707"/>
    <cellStyle name="Обычный 15_Расчет  30 млн_Технополис  Коренькова" xfId="3708"/>
    <cellStyle name="Обычный 16" xfId="3709"/>
    <cellStyle name="Обычный 16 10" xfId="3710"/>
    <cellStyle name="Обычный 16 2" xfId="3711"/>
    <cellStyle name="Обычный 16 2 2" xfId="3712"/>
    <cellStyle name="Обычный 16 2 2 2" xfId="3713"/>
    <cellStyle name="Обычный 16 2 2 2 2" xfId="3714"/>
    <cellStyle name="Обычный 16 2 2 2 3" xfId="3715"/>
    <cellStyle name="Обычный 16 2 2 3" xfId="3716"/>
    <cellStyle name="Обычный 16 2 2 4" xfId="3717"/>
    <cellStyle name="Обычный 16 2 3" xfId="3718"/>
    <cellStyle name="Обычный 16 2 3 2" xfId="3719"/>
    <cellStyle name="Обычный 16 2 3 3" xfId="3720"/>
    <cellStyle name="Обычный 16 2 4" xfId="3721"/>
    <cellStyle name="Обычный 16 2 5" xfId="3722"/>
    <cellStyle name="Обычный 16 3" xfId="3723"/>
    <cellStyle name="Обычный 16 3 2" xfId="3724"/>
    <cellStyle name="Обычный 16 3 2 2" xfId="3725"/>
    <cellStyle name="Обычный 16 3 2 2 2" xfId="3726"/>
    <cellStyle name="Обычный 16 3 2 2 3" xfId="3727"/>
    <cellStyle name="Обычный 16 3 2 3" xfId="3728"/>
    <cellStyle name="Обычный 16 3 2 4" xfId="3729"/>
    <cellStyle name="Обычный 16 3 3" xfId="3730"/>
    <cellStyle name="Обычный 16 3 3 2" xfId="3731"/>
    <cellStyle name="Обычный 16 3 3 3" xfId="3732"/>
    <cellStyle name="Обычный 16 3 4" xfId="3733"/>
    <cellStyle name="Обычный 16 3 5" xfId="3734"/>
    <cellStyle name="Обычный 16 4" xfId="3735"/>
    <cellStyle name="Обычный 16 4 2" xfId="3736"/>
    <cellStyle name="Обычный 16 4 2 2" xfId="3737"/>
    <cellStyle name="Обычный 16 4 2 2 2" xfId="3738"/>
    <cellStyle name="Обычный 16 4 2 2 3" xfId="3739"/>
    <cellStyle name="Обычный 16 4 2 3" xfId="3740"/>
    <cellStyle name="Обычный 16 4 2 4" xfId="3741"/>
    <cellStyle name="Обычный 16 4 3" xfId="3742"/>
    <cellStyle name="Обычный 16 4 3 2" xfId="3743"/>
    <cellStyle name="Обычный 16 4 3 3" xfId="3744"/>
    <cellStyle name="Обычный 16 4 4" xfId="3745"/>
    <cellStyle name="Обычный 16 4 5" xfId="3746"/>
    <cellStyle name="Обычный 16 5" xfId="3747"/>
    <cellStyle name="Обычный 16 5 2" xfId="3748"/>
    <cellStyle name="Обычный 16 5 2 2" xfId="3749"/>
    <cellStyle name="Обычный 16 5 2 2 2" xfId="3750"/>
    <cellStyle name="Обычный 16 5 2 2 3" xfId="3751"/>
    <cellStyle name="Обычный 16 5 2 3" xfId="3752"/>
    <cellStyle name="Обычный 16 5 2 4" xfId="3753"/>
    <cellStyle name="Обычный 16 5 3" xfId="3754"/>
    <cellStyle name="Обычный 16 5 3 2" xfId="3755"/>
    <cellStyle name="Обычный 16 5 3 3" xfId="3756"/>
    <cellStyle name="Обычный 16 5 4" xfId="3757"/>
    <cellStyle name="Обычный 16 5 5" xfId="3758"/>
    <cellStyle name="Обычный 16 6" xfId="3759"/>
    <cellStyle name="Обычный 16 6 2" xfId="3760"/>
    <cellStyle name="Обычный 16 6 2 2" xfId="3761"/>
    <cellStyle name="Обычный 16 6 2 2 2" xfId="3762"/>
    <cellStyle name="Обычный 16 6 2 2 3" xfId="3763"/>
    <cellStyle name="Обычный 16 6 2 3" xfId="3764"/>
    <cellStyle name="Обычный 16 6 2 4" xfId="3765"/>
    <cellStyle name="Обычный 16 6 3" xfId="3766"/>
    <cellStyle name="Обычный 16 6 3 2" xfId="3767"/>
    <cellStyle name="Обычный 16 6 3 3" xfId="3768"/>
    <cellStyle name="Обычный 16 6 4" xfId="3769"/>
    <cellStyle name="Обычный 16 6 5" xfId="3770"/>
    <cellStyle name="Обычный 16 7" xfId="3771"/>
    <cellStyle name="Обычный 16 7 2" xfId="3772"/>
    <cellStyle name="Обычный 16 7 2 2" xfId="3773"/>
    <cellStyle name="Обычный 16 7 2 3" xfId="3774"/>
    <cellStyle name="Обычный 16 7 3" xfId="3775"/>
    <cellStyle name="Обычный 16 7 4" xfId="3776"/>
    <cellStyle name="Обычный 16 8" xfId="3777"/>
    <cellStyle name="Обычный 16 8 2" xfId="3778"/>
    <cellStyle name="Обычный 16 8 3" xfId="3779"/>
    <cellStyle name="Обычный 16 9" xfId="3780"/>
    <cellStyle name="Обычный 16_Расчет  30 млн_Технополис  Коренькова" xfId="3781"/>
    <cellStyle name="Обычный 17" xfId="3782"/>
    <cellStyle name="Обычный 17 2" xfId="3783"/>
    <cellStyle name="Обычный 17 2 2" xfId="3784"/>
    <cellStyle name="Обычный 17 2 2 2" xfId="3785"/>
    <cellStyle name="Обычный 17 2 2 2 2" xfId="3786"/>
    <cellStyle name="Обычный 17 2 2 2 3" xfId="3787"/>
    <cellStyle name="Обычный 17 2 2 3" xfId="3788"/>
    <cellStyle name="Обычный 17 2 2 4" xfId="3789"/>
    <cellStyle name="Обычный 17 2 3" xfId="3790"/>
    <cellStyle name="Обычный 17 2 3 2" xfId="3791"/>
    <cellStyle name="Обычный 17 2 3 3" xfId="3792"/>
    <cellStyle name="Обычный 17 2 4" xfId="3793"/>
    <cellStyle name="Обычный 17 2 5" xfId="3794"/>
    <cellStyle name="Обычный 17 3" xfId="3795"/>
    <cellStyle name="Обычный 17_Расчет  30 млн_Технополис  Коренькова" xfId="3796"/>
    <cellStyle name="Обычный 18" xfId="8"/>
    <cellStyle name="Обычный 18 10" xfId="3797"/>
    <cellStyle name="Обычный 18 10 2" xfId="3798"/>
    <cellStyle name="Обычный 18 10 2 2" xfId="3799"/>
    <cellStyle name="Обычный 18 10 2 3" xfId="3800"/>
    <cellStyle name="Обычный 18 10 3" xfId="3801"/>
    <cellStyle name="Обычный 18 10 4" xfId="3802"/>
    <cellStyle name="Обычный 18 11" xfId="3803"/>
    <cellStyle name="Обычный 18 11 2" xfId="3804"/>
    <cellStyle name="Обычный 18 11 2 2" xfId="3805"/>
    <cellStyle name="Обычный 18 11 2 3" xfId="3806"/>
    <cellStyle name="Обычный 18 11 3" xfId="3807"/>
    <cellStyle name="Обычный 18 11 4" xfId="3808"/>
    <cellStyle name="Обычный 18 12" xfId="3809"/>
    <cellStyle name="Обычный 18 12 2" xfId="3810"/>
    <cellStyle name="Обычный 18 12 2 2" xfId="3811"/>
    <cellStyle name="Обычный 18 12 2 3" xfId="3812"/>
    <cellStyle name="Обычный 18 12 3" xfId="3813"/>
    <cellStyle name="Обычный 18 12 4" xfId="3814"/>
    <cellStyle name="Обычный 18 13" xfId="3815"/>
    <cellStyle name="Обычный 18 13 2" xfId="3816"/>
    <cellStyle name="Обычный 18 13 2 2" xfId="3817"/>
    <cellStyle name="Обычный 18 13 2 3" xfId="3818"/>
    <cellStyle name="Обычный 18 13 3" xfId="3819"/>
    <cellStyle name="Обычный 18 13 4" xfId="3820"/>
    <cellStyle name="Обычный 18 14" xfId="3821"/>
    <cellStyle name="Обычный 18 14 2" xfId="3822"/>
    <cellStyle name="Обычный 18 14 3" xfId="3823"/>
    <cellStyle name="Обычный 18 15" xfId="3824"/>
    <cellStyle name="Обычный 18 15 2" xfId="3825"/>
    <cellStyle name="Обычный 18 15 3" xfId="3826"/>
    <cellStyle name="Обычный 18 16" xfId="3827"/>
    <cellStyle name="Обычный 18 17" xfId="3828"/>
    <cellStyle name="Обычный 18 18" xfId="3829"/>
    <cellStyle name="Обычный 18 2" xfId="3830"/>
    <cellStyle name="Обычный 18 2 2" xfId="3831"/>
    <cellStyle name="Обычный 18 3" xfId="3832"/>
    <cellStyle name="Обычный 18 3 10" xfId="3833"/>
    <cellStyle name="Обычный 18 3 2" xfId="3834"/>
    <cellStyle name="Обычный 18 3 2 2" xfId="3835"/>
    <cellStyle name="Обычный 18 3 2 2 2" xfId="3836"/>
    <cellStyle name="Обычный 18 3 2 2 2 2" xfId="3837"/>
    <cellStyle name="Обычный 18 3 2 2 2 3" xfId="3838"/>
    <cellStyle name="Обычный 18 3 2 2 3" xfId="3839"/>
    <cellStyle name="Обычный 18 3 2 2 4" xfId="3840"/>
    <cellStyle name="Обычный 18 3 2 3" xfId="3841"/>
    <cellStyle name="Обычный 18 3 2 3 2" xfId="3842"/>
    <cellStyle name="Обычный 18 3 2 3 3" xfId="3843"/>
    <cellStyle name="Обычный 18 3 2 4" xfId="3844"/>
    <cellStyle name="Обычный 18 3 2 5" xfId="3845"/>
    <cellStyle name="Обычный 18 3 3" xfId="3846"/>
    <cellStyle name="Обычный 18 3 3 2" xfId="3847"/>
    <cellStyle name="Обычный 18 3 3 2 2" xfId="3848"/>
    <cellStyle name="Обычный 18 3 3 2 2 2" xfId="3849"/>
    <cellStyle name="Обычный 18 3 3 2 2 3" xfId="3850"/>
    <cellStyle name="Обычный 18 3 3 2 3" xfId="3851"/>
    <cellStyle name="Обычный 18 3 3 2 4" xfId="3852"/>
    <cellStyle name="Обычный 18 3 3 3" xfId="3853"/>
    <cellStyle name="Обычный 18 3 3 3 2" xfId="3854"/>
    <cellStyle name="Обычный 18 3 3 3 3" xfId="3855"/>
    <cellStyle name="Обычный 18 3 3 4" xfId="3856"/>
    <cellStyle name="Обычный 18 3 3 5" xfId="3857"/>
    <cellStyle name="Обычный 18 3 4" xfId="3858"/>
    <cellStyle name="Обычный 18 3 4 2" xfId="3859"/>
    <cellStyle name="Обычный 18 3 4 2 2" xfId="3860"/>
    <cellStyle name="Обычный 18 3 4 2 2 2" xfId="3861"/>
    <cellStyle name="Обычный 18 3 4 2 2 3" xfId="3862"/>
    <cellStyle name="Обычный 18 3 4 2 3" xfId="3863"/>
    <cellStyle name="Обычный 18 3 4 2 4" xfId="3864"/>
    <cellStyle name="Обычный 18 3 4 3" xfId="3865"/>
    <cellStyle name="Обычный 18 3 4 3 2" xfId="3866"/>
    <cellStyle name="Обычный 18 3 4 3 3" xfId="3867"/>
    <cellStyle name="Обычный 18 3 4 4" xfId="3868"/>
    <cellStyle name="Обычный 18 3 4 5" xfId="3869"/>
    <cellStyle name="Обычный 18 3 5" xfId="3870"/>
    <cellStyle name="Обычный 18 3 5 2" xfId="3871"/>
    <cellStyle name="Обычный 18 3 5 2 2" xfId="3872"/>
    <cellStyle name="Обычный 18 3 5 2 2 2" xfId="3873"/>
    <cellStyle name="Обычный 18 3 5 2 2 3" xfId="3874"/>
    <cellStyle name="Обычный 18 3 5 2 3" xfId="3875"/>
    <cellStyle name="Обычный 18 3 5 2 4" xfId="3876"/>
    <cellStyle name="Обычный 18 3 5 3" xfId="3877"/>
    <cellStyle name="Обычный 18 3 5 3 2" xfId="3878"/>
    <cellStyle name="Обычный 18 3 5 3 3" xfId="3879"/>
    <cellStyle name="Обычный 18 3 5 4" xfId="3880"/>
    <cellStyle name="Обычный 18 3 5 5" xfId="3881"/>
    <cellStyle name="Обычный 18 3 6" xfId="3882"/>
    <cellStyle name="Обычный 18 3 6 2" xfId="3883"/>
    <cellStyle name="Обычный 18 3 6 2 2" xfId="3884"/>
    <cellStyle name="Обычный 18 3 6 2 2 2" xfId="3885"/>
    <cellStyle name="Обычный 18 3 6 2 2 3" xfId="3886"/>
    <cellStyle name="Обычный 18 3 6 2 3" xfId="3887"/>
    <cellStyle name="Обычный 18 3 6 2 4" xfId="3888"/>
    <cellStyle name="Обычный 18 3 6 3" xfId="3889"/>
    <cellStyle name="Обычный 18 3 6 3 2" xfId="3890"/>
    <cellStyle name="Обычный 18 3 6 3 3" xfId="3891"/>
    <cellStyle name="Обычный 18 3 6 4" xfId="3892"/>
    <cellStyle name="Обычный 18 3 6 5" xfId="3893"/>
    <cellStyle name="Обычный 18 3 7" xfId="3894"/>
    <cellStyle name="Обычный 18 3 7 2" xfId="3895"/>
    <cellStyle name="Обычный 18 3 7 2 2" xfId="3896"/>
    <cellStyle name="Обычный 18 3 7 2 3" xfId="3897"/>
    <cellStyle name="Обычный 18 3 7 3" xfId="3898"/>
    <cellStyle name="Обычный 18 3 7 4" xfId="3899"/>
    <cellStyle name="Обычный 18 3 8" xfId="3900"/>
    <cellStyle name="Обычный 18 3 8 2" xfId="3901"/>
    <cellStyle name="Обычный 18 3 8 3" xfId="3902"/>
    <cellStyle name="Обычный 18 3 9" xfId="3903"/>
    <cellStyle name="Обычный 18 3_Расчет  30 млн_Технополис  Коренькова" xfId="3904"/>
    <cellStyle name="Обычный 18 4" xfId="3905"/>
    <cellStyle name="Обычный 18 4 2" xfId="3906"/>
    <cellStyle name="Обычный 18 4 2 2" xfId="3907"/>
    <cellStyle name="Обычный 18 4 2 2 2" xfId="3908"/>
    <cellStyle name="Обычный 18 4 2 2 2 2" xfId="3909"/>
    <cellStyle name="Обычный 18 4 2 2 2 3" xfId="3910"/>
    <cellStyle name="Обычный 18 4 2 2 3" xfId="3911"/>
    <cellStyle name="Обычный 18 4 2 2 4" xfId="3912"/>
    <cellStyle name="Обычный 18 4 2 3" xfId="3913"/>
    <cellStyle name="Обычный 18 4 2 3 2" xfId="3914"/>
    <cellStyle name="Обычный 18 4 2 3 3" xfId="3915"/>
    <cellStyle name="Обычный 18 4 2 4" xfId="3916"/>
    <cellStyle name="Обычный 18 4 2 5" xfId="3917"/>
    <cellStyle name="Обычный 18 4 3" xfId="3918"/>
    <cellStyle name="Обычный 18 4 3 2" xfId="3919"/>
    <cellStyle name="Обычный 18 4 3 2 2" xfId="3920"/>
    <cellStyle name="Обычный 18 4 3 2 3" xfId="3921"/>
    <cellStyle name="Обычный 18 4 3 3" xfId="3922"/>
    <cellStyle name="Обычный 18 4 3 4" xfId="3923"/>
    <cellStyle name="Обычный 18 4 4" xfId="3924"/>
    <cellStyle name="Обычный 18 4 4 2" xfId="3925"/>
    <cellStyle name="Обычный 18 4 4 3" xfId="3926"/>
    <cellStyle name="Обычный 18 4 5" xfId="3927"/>
    <cellStyle name="Обычный 18 4 6" xfId="3928"/>
    <cellStyle name="Обычный 18 4_Расчет  30 млн_Технополис  Коренькова" xfId="3929"/>
    <cellStyle name="Обычный 18 5" xfId="3930"/>
    <cellStyle name="Обычный 18 5 2" xfId="3931"/>
    <cellStyle name="Обычный 18 5 2 2" xfId="3932"/>
    <cellStyle name="Обычный 18 5 3" xfId="3933"/>
    <cellStyle name="Обычный 18 6" xfId="3934"/>
    <cellStyle name="Обычный 18 6 2" xfId="3935"/>
    <cellStyle name="Обычный 18 6 2 2" xfId="3936"/>
    <cellStyle name="Обычный 18 6 2 2 2" xfId="3937"/>
    <cellStyle name="Обычный 18 6 2 2 3" xfId="3938"/>
    <cellStyle name="Обычный 18 6 2 3" xfId="3939"/>
    <cellStyle name="Обычный 18 6 2 4" xfId="3940"/>
    <cellStyle name="Обычный 18 6 3" xfId="3941"/>
    <cellStyle name="Обычный 18 6 3 2" xfId="3942"/>
    <cellStyle name="Обычный 18 6 3 3" xfId="3943"/>
    <cellStyle name="Обычный 18 6 4" xfId="3944"/>
    <cellStyle name="Обычный 18 6 5" xfId="3945"/>
    <cellStyle name="Обычный 18 7" xfId="3946"/>
    <cellStyle name="Обычный 18 7 2" xfId="3947"/>
    <cellStyle name="Обычный 18 7 2 2" xfId="3948"/>
    <cellStyle name="Обычный 18 7 2 2 2" xfId="3949"/>
    <cellStyle name="Обычный 18 7 2 2 3" xfId="3950"/>
    <cellStyle name="Обычный 18 7 2 3" xfId="3951"/>
    <cellStyle name="Обычный 18 7 2 4" xfId="3952"/>
    <cellStyle name="Обычный 18 7 3" xfId="3953"/>
    <cellStyle name="Обычный 18 7 3 2" xfId="3954"/>
    <cellStyle name="Обычный 18 7 3 3" xfId="3955"/>
    <cellStyle name="Обычный 18 7 4" xfId="3956"/>
    <cellStyle name="Обычный 18 7 5" xfId="3957"/>
    <cellStyle name="Обычный 18 8" xfId="3958"/>
    <cellStyle name="Обычный 18 8 2" xfId="3959"/>
    <cellStyle name="Обычный 18 8 2 2" xfId="3960"/>
    <cellStyle name="Обычный 18 8 2 2 2" xfId="3961"/>
    <cellStyle name="Обычный 18 8 2 2 3" xfId="3962"/>
    <cellStyle name="Обычный 18 8 2 3" xfId="3963"/>
    <cellStyle name="Обычный 18 8 2 4" xfId="3964"/>
    <cellStyle name="Обычный 18 8 3" xfId="3965"/>
    <cellStyle name="Обычный 18 8 3 2" xfId="3966"/>
    <cellStyle name="Обычный 18 8 3 3" xfId="3967"/>
    <cellStyle name="Обычный 18 8 4" xfId="3968"/>
    <cellStyle name="Обычный 18 8 5" xfId="3969"/>
    <cellStyle name="Обычный 18 9" xfId="3970"/>
    <cellStyle name="Обычный 18 9 2" xfId="3971"/>
    <cellStyle name="Обычный 18 9 2 2" xfId="3972"/>
    <cellStyle name="Обычный 18 9 2 2 2" xfId="3973"/>
    <cellStyle name="Обычный 18 9 2 2 3" xfId="3974"/>
    <cellStyle name="Обычный 18 9 2 3" xfId="3975"/>
    <cellStyle name="Обычный 18 9 2 4" xfId="3976"/>
    <cellStyle name="Обычный 18 9 3" xfId="3977"/>
    <cellStyle name="Обычный 18 9 3 2" xfId="3978"/>
    <cellStyle name="Обычный 18 9 3 3" xfId="3979"/>
    <cellStyle name="Обычный 18 9 4" xfId="3980"/>
    <cellStyle name="Обычный 18 9 5" xfId="3981"/>
    <cellStyle name="Обычный 18_Расчет  30 млн_Технополис  Коренькова" xfId="3982"/>
    <cellStyle name="Обычный 19" xfId="3983"/>
    <cellStyle name="Обычный 19 2" xfId="3984"/>
    <cellStyle name="Обычный 19 2 2" xfId="3985"/>
    <cellStyle name="Обычный 19 2 2 2" xfId="3986"/>
    <cellStyle name="Обычный 19 2 2 2 2" xfId="3987"/>
    <cellStyle name="Обычный 19 2 2 2 3" xfId="3988"/>
    <cellStyle name="Обычный 19 2 2 3" xfId="3989"/>
    <cellStyle name="Обычный 19 2 2 4" xfId="3990"/>
    <cellStyle name="Обычный 19 2 3" xfId="3991"/>
    <cellStyle name="Обычный 19 2 3 2" xfId="3992"/>
    <cellStyle name="Обычный 19 2 3 3" xfId="3993"/>
    <cellStyle name="Обычный 19 2 4" xfId="3994"/>
    <cellStyle name="Обычный 19 2 5" xfId="3995"/>
    <cellStyle name="Обычный 19 3" xfId="3996"/>
    <cellStyle name="Обычный 19 3 2" xfId="3997"/>
    <cellStyle name="Обычный 19 3 2 2" xfId="3998"/>
    <cellStyle name="Обычный 19 3 2 2 2" xfId="3999"/>
    <cellStyle name="Обычный 19 3 2 2 3" xfId="4000"/>
    <cellStyle name="Обычный 19 3 2 3" xfId="4001"/>
    <cellStyle name="Обычный 19 3 2 4" xfId="4002"/>
    <cellStyle name="Обычный 19 3 3" xfId="4003"/>
    <cellStyle name="Обычный 19 3 3 2" xfId="4004"/>
    <cellStyle name="Обычный 19 3 3 3" xfId="4005"/>
    <cellStyle name="Обычный 19 3 4" xfId="4006"/>
    <cellStyle name="Обычный 19 3 5" xfId="4007"/>
    <cellStyle name="Обычный 19 4" xfId="4008"/>
    <cellStyle name="Обычный 19 4 2" xfId="4009"/>
    <cellStyle name="Обычный 19 5" xfId="4010"/>
    <cellStyle name="Обычный 19 6" xfId="4011"/>
    <cellStyle name="Обычный 2" xfId="1"/>
    <cellStyle name="Обычный 2 10" xfId="4012"/>
    <cellStyle name="Обычный 2 11" xfId="4013"/>
    <cellStyle name="Обычный 2 12" xfId="4014"/>
    <cellStyle name="Обычный 2 12 10" xfId="4015"/>
    <cellStyle name="Обычный 2 12 2" xfId="4016"/>
    <cellStyle name="Обычный 2 12 2 2" xfId="4017"/>
    <cellStyle name="Обычный 2 12 2 2 2" xfId="4018"/>
    <cellStyle name="Обычный 2 12 2 2 2 2" xfId="4019"/>
    <cellStyle name="Обычный 2 12 2 2 2 3" xfId="4020"/>
    <cellStyle name="Обычный 2 12 2 2 3" xfId="4021"/>
    <cellStyle name="Обычный 2 12 2 2 4" xfId="4022"/>
    <cellStyle name="Обычный 2 12 2 3" xfId="4023"/>
    <cellStyle name="Обычный 2 12 2 3 2" xfId="4024"/>
    <cellStyle name="Обычный 2 12 2 3 2 2" xfId="4025"/>
    <cellStyle name="Обычный 2 12 2 3 2 3" xfId="4026"/>
    <cellStyle name="Обычный 2 12 2 3 3" xfId="4027"/>
    <cellStyle name="Обычный 2 12 2 3 4" xfId="4028"/>
    <cellStyle name="Обычный 2 12 2 4" xfId="4029"/>
    <cellStyle name="Обычный 2 12 2 4 2" xfId="4030"/>
    <cellStyle name="Обычный 2 12 2 4 3" xfId="4031"/>
    <cellStyle name="Обычный 2 12 2 5" xfId="4032"/>
    <cellStyle name="Обычный 2 12 2 6" xfId="4033"/>
    <cellStyle name="Обычный 2 12 3" xfId="4034"/>
    <cellStyle name="Обычный 2 12 3 2" xfId="4035"/>
    <cellStyle name="Обычный 2 12 3 2 2" xfId="4036"/>
    <cellStyle name="Обычный 2 12 3 2 2 2" xfId="4037"/>
    <cellStyle name="Обычный 2 12 3 2 2 3" xfId="4038"/>
    <cellStyle name="Обычный 2 12 3 2 3" xfId="4039"/>
    <cellStyle name="Обычный 2 12 3 2 4" xfId="4040"/>
    <cellStyle name="Обычный 2 12 3 3" xfId="4041"/>
    <cellStyle name="Обычный 2 12 3 3 2" xfId="4042"/>
    <cellStyle name="Обычный 2 12 3 3 3" xfId="4043"/>
    <cellStyle name="Обычный 2 12 3 4" xfId="4044"/>
    <cellStyle name="Обычный 2 12 3 5" xfId="4045"/>
    <cellStyle name="Обычный 2 12 4" xfId="4046"/>
    <cellStyle name="Обычный 2 12 4 2" xfId="4047"/>
    <cellStyle name="Обычный 2 12 4 2 2" xfId="4048"/>
    <cellStyle name="Обычный 2 12 4 2 2 2" xfId="4049"/>
    <cellStyle name="Обычный 2 12 4 2 2 3" xfId="4050"/>
    <cellStyle name="Обычный 2 12 4 2 3" xfId="4051"/>
    <cellStyle name="Обычный 2 12 4 2 4" xfId="4052"/>
    <cellStyle name="Обычный 2 12 4 3" xfId="4053"/>
    <cellStyle name="Обычный 2 12 4 3 2" xfId="4054"/>
    <cellStyle name="Обычный 2 12 4 3 3" xfId="4055"/>
    <cellStyle name="Обычный 2 12 4 4" xfId="4056"/>
    <cellStyle name="Обычный 2 12 4 5" xfId="4057"/>
    <cellStyle name="Обычный 2 12 5" xfId="4058"/>
    <cellStyle name="Обычный 2 12 5 2" xfId="4059"/>
    <cellStyle name="Обычный 2 12 5 2 2" xfId="4060"/>
    <cellStyle name="Обычный 2 12 5 2 2 2" xfId="4061"/>
    <cellStyle name="Обычный 2 12 5 2 2 3" xfId="4062"/>
    <cellStyle name="Обычный 2 12 5 2 3" xfId="4063"/>
    <cellStyle name="Обычный 2 12 5 2 4" xfId="4064"/>
    <cellStyle name="Обычный 2 12 5 3" xfId="4065"/>
    <cellStyle name="Обычный 2 12 5 3 2" xfId="4066"/>
    <cellStyle name="Обычный 2 12 5 3 3" xfId="4067"/>
    <cellStyle name="Обычный 2 12 5 4" xfId="4068"/>
    <cellStyle name="Обычный 2 12 5 5" xfId="4069"/>
    <cellStyle name="Обычный 2 12 6" xfId="4070"/>
    <cellStyle name="Обычный 2 12 6 2" xfId="4071"/>
    <cellStyle name="Обычный 2 12 6 2 2" xfId="4072"/>
    <cellStyle name="Обычный 2 12 6 2 2 2" xfId="4073"/>
    <cellStyle name="Обычный 2 12 6 2 2 3" xfId="4074"/>
    <cellStyle name="Обычный 2 12 6 2 3" xfId="4075"/>
    <cellStyle name="Обычный 2 12 6 2 4" xfId="4076"/>
    <cellStyle name="Обычный 2 12 6 3" xfId="4077"/>
    <cellStyle name="Обычный 2 12 6 3 2" xfId="4078"/>
    <cellStyle name="Обычный 2 12 6 3 3" xfId="4079"/>
    <cellStyle name="Обычный 2 12 6 4" xfId="4080"/>
    <cellStyle name="Обычный 2 12 6 5" xfId="4081"/>
    <cellStyle name="Обычный 2 12 7" xfId="4082"/>
    <cellStyle name="Обычный 2 12 7 2" xfId="4083"/>
    <cellStyle name="Обычный 2 12 7 2 2" xfId="4084"/>
    <cellStyle name="Обычный 2 12 7 2 3" xfId="4085"/>
    <cellStyle name="Обычный 2 12 7 3" xfId="4086"/>
    <cellStyle name="Обычный 2 12 7 4" xfId="4087"/>
    <cellStyle name="Обычный 2 12 8" xfId="4088"/>
    <cellStyle name="Обычный 2 12 8 2" xfId="4089"/>
    <cellStyle name="Обычный 2 12 8 3" xfId="4090"/>
    <cellStyle name="Обычный 2 12 9" xfId="4091"/>
    <cellStyle name="Обычный 2 12_Расчет  30 млн_Технополис  Коренькова" xfId="4092"/>
    <cellStyle name="Обычный 2 13" xfId="4093"/>
    <cellStyle name="Обычный 2 13 10" xfId="4094"/>
    <cellStyle name="Обычный 2 13 11" xfId="4095"/>
    <cellStyle name="Обычный 2 13 2" xfId="4096"/>
    <cellStyle name="Обычный 2 13 2 2" xfId="4097"/>
    <cellStyle name="Обычный 2 13 2 2 2" xfId="4098"/>
    <cellStyle name="Обычный 2 13 2 2 2 2" xfId="4099"/>
    <cellStyle name="Обычный 2 13 2 2 2 3" xfId="4100"/>
    <cellStyle name="Обычный 2 13 2 2 3" xfId="4101"/>
    <cellStyle name="Обычный 2 13 2 2 4" xfId="4102"/>
    <cellStyle name="Обычный 2 13 2 3" xfId="4103"/>
    <cellStyle name="Обычный 2 13 2 4" xfId="4104"/>
    <cellStyle name="Обычный 2 13 2 5" xfId="4105"/>
    <cellStyle name="Обычный 2 13 3" xfId="4106"/>
    <cellStyle name="Обычный 2 13 3 2" xfId="4107"/>
    <cellStyle name="Обычный 2 13 3 2 2" xfId="4108"/>
    <cellStyle name="Обычный 2 13 3 2 2 2" xfId="4109"/>
    <cellStyle name="Обычный 2 13 3 2 2 3" xfId="4110"/>
    <cellStyle name="Обычный 2 13 3 2 3" xfId="4111"/>
    <cellStyle name="Обычный 2 13 3 2 4" xfId="4112"/>
    <cellStyle name="Обычный 2 13 3 3" xfId="4113"/>
    <cellStyle name="Обычный 2 13 3 3 2" xfId="4114"/>
    <cellStyle name="Обычный 2 13 3 3 3" xfId="4115"/>
    <cellStyle name="Обычный 2 13 3 4" xfId="4116"/>
    <cellStyle name="Обычный 2 13 3 5" xfId="4117"/>
    <cellStyle name="Обычный 2 13 4" xfId="4118"/>
    <cellStyle name="Обычный 2 13 4 2" xfId="4119"/>
    <cellStyle name="Обычный 2 13 4 2 2" xfId="4120"/>
    <cellStyle name="Обычный 2 13 4 2 2 2" xfId="4121"/>
    <cellStyle name="Обычный 2 13 4 2 2 3" xfId="4122"/>
    <cellStyle name="Обычный 2 13 4 2 3" xfId="4123"/>
    <cellStyle name="Обычный 2 13 4 2 4" xfId="4124"/>
    <cellStyle name="Обычный 2 13 4 3" xfId="4125"/>
    <cellStyle name="Обычный 2 13 4 3 2" xfId="4126"/>
    <cellStyle name="Обычный 2 13 4 3 3" xfId="4127"/>
    <cellStyle name="Обычный 2 13 4 4" xfId="4128"/>
    <cellStyle name="Обычный 2 13 4 5" xfId="4129"/>
    <cellStyle name="Обычный 2 13 5" xfId="4130"/>
    <cellStyle name="Обычный 2 13 5 2" xfId="4131"/>
    <cellStyle name="Обычный 2 13 5 2 2" xfId="4132"/>
    <cellStyle name="Обычный 2 13 5 2 2 2" xfId="4133"/>
    <cellStyle name="Обычный 2 13 5 2 2 3" xfId="4134"/>
    <cellStyle name="Обычный 2 13 5 2 3" xfId="4135"/>
    <cellStyle name="Обычный 2 13 5 2 4" xfId="4136"/>
    <cellStyle name="Обычный 2 13 5 3" xfId="4137"/>
    <cellStyle name="Обычный 2 13 5 3 2" xfId="4138"/>
    <cellStyle name="Обычный 2 13 5 3 3" xfId="4139"/>
    <cellStyle name="Обычный 2 13 5 4" xfId="4140"/>
    <cellStyle name="Обычный 2 13 5 5" xfId="4141"/>
    <cellStyle name="Обычный 2 13 6" xfId="4142"/>
    <cellStyle name="Обычный 2 13 6 2" xfId="4143"/>
    <cellStyle name="Обычный 2 13 6 2 2" xfId="4144"/>
    <cellStyle name="Обычный 2 13 6 2 2 2" xfId="4145"/>
    <cellStyle name="Обычный 2 13 6 2 2 3" xfId="4146"/>
    <cellStyle name="Обычный 2 13 6 2 3" xfId="4147"/>
    <cellStyle name="Обычный 2 13 6 2 4" xfId="4148"/>
    <cellStyle name="Обычный 2 13 6 3" xfId="4149"/>
    <cellStyle name="Обычный 2 13 6 3 2" xfId="4150"/>
    <cellStyle name="Обычный 2 13 6 3 3" xfId="4151"/>
    <cellStyle name="Обычный 2 13 6 4" xfId="4152"/>
    <cellStyle name="Обычный 2 13 6 5" xfId="4153"/>
    <cellStyle name="Обычный 2 13 7" xfId="4154"/>
    <cellStyle name="Обычный 2 13 7 2" xfId="4155"/>
    <cellStyle name="Обычный 2 13 7 2 2" xfId="4156"/>
    <cellStyle name="Обычный 2 13 7 2 2 2" xfId="4157"/>
    <cellStyle name="Обычный 2 13 7 2 2 3" xfId="4158"/>
    <cellStyle name="Обычный 2 13 7 2 3" xfId="4159"/>
    <cellStyle name="Обычный 2 13 7 2 4" xfId="4160"/>
    <cellStyle name="Обычный 2 13 7 3" xfId="4161"/>
    <cellStyle name="Обычный 2 13 7 3 2" xfId="4162"/>
    <cellStyle name="Обычный 2 13 7 3 3" xfId="4163"/>
    <cellStyle name="Обычный 2 13 7 4" xfId="4164"/>
    <cellStyle name="Обычный 2 13 7 5" xfId="4165"/>
    <cellStyle name="Обычный 2 13 8" xfId="4166"/>
    <cellStyle name="Обычный 2 13 8 2" xfId="4167"/>
    <cellStyle name="Обычный 2 13 8 2 2" xfId="4168"/>
    <cellStyle name="Обычный 2 13 8 2 3" xfId="4169"/>
    <cellStyle name="Обычный 2 13 8 3" xfId="4170"/>
    <cellStyle name="Обычный 2 13 8 4" xfId="4171"/>
    <cellStyle name="Обычный 2 13 9" xfId="4172"/>
    <cellStyle name="Обычный 2 13 9 2" xfId="4173"/>
    <cellStyle name="Обычный 2 13 9 3" xfId="4174"/>
    <cellStyle name="Обычный 2 13_Расчет  30 млн_Технополис  Коренькова" xfId="4175"/>
    <cellStyle name="Обычный 2 14" xfId="4176"/>
    <cellStyle name="Обычный 2 15" xfId="4177"/>
    <cellStyle name="Обычный 2 15 2" xfId="4178"/>
    <cellStyle name="Обычный 2 15 2 2" xfId="4179"/>
    <cellStyle name="Обычный 2 15 2 2 2" xfId="4180"/>
    <cellStyle name="Обычный 2 15 2 2 3" xfId="4181"/>
    <cellStyle name="Обычный 2 15 2 3" xfId="4182"/>
    <cellStyle name="Обычный 2 15 2 4" xfId="4183"/>
    <cellStyle name="Обычный 2 15 3" xfId="4184"/>
    <cellStyle name="Обычный 2 15 3 2" xfId="4185"/>
    <cellStyle name="Обычный 2 15 3 3" xfId="4186"/>
    <cellStyle name="Обычный 2 15 4" xfId="4187"/>
    <cellStyle name="Обычный 2 15 5" xfId="4188"/>
    <cellStyle name="Обычный 2 16" xfId="4189"/>
    <cellStyle name="Обычный 2 16 2" xfId="4190"/>
    <cellStyle name="Обычный 2 17" xfId="4191"/>
    <cellStyle name="Обычный 2 18" xfId="4192"/>
    <cellStyle name="Обычный 2 19" xfId="4193"/>
    <cellStyle name="Обычный 2 2" xfId="3"/>
    <cellStyle name="Обычный 2 2 10" xfId="4194"/>
    <cellStyle name="Обычный 2 2 10 2" xfId="4195"/>
    <cellStyle name="Обычный 2 2 10 3" xfId="4196"/>
    <cellStyle name="Обычный 2 2 11" xfId="4197"/>
    <cellStyle name="Обычный 2 2 11 2" xfId="4198"/>
    <cellStyle name="Обычный 2 2 11 2 2" xfId="4199"/>
    <cellStyle name="Обычный 2 2 11 2 2 2" xfId="4200"/>
    <cellStyle name="Обычный 2 2 11 2 2 2 2" xfId="4201"/>
    <cellStyle name="Обычный 2 2 11 2 2 2 3" xfId="4202"/>
    <cellStyle name="Обычный 2 2 11 2 2 3" xfId="4203"/>
    <cellStyle name="Обычный 2 2 11 2 2 4" xfId="4204"/>
    <cellStyle name="Обычный 2 2 11 2 3" xfId="4205"/>
    <cellStyle name="Обычный 2 2 11 2 3 2" xfId="4206"/>
    <cellStyle name="Обычный 2 2 11 2 3 3" xfId="4207"/>
    <cellStyle name="Обычный 2 2 11 2 4" xfId="4208"/>
    <cellStyle name="Обычный 2 2 11 2 5" xfId="4209"/>
    <cellStyle name="Обычный 2 2 11 3" xfId="4210"/>
    <cellStyle name="Обычный 2 2 11 3 2" xfId="4211"/>
    <cellStyle name="Обычный 2 2 11 3 2 2" xfId="4212"/>
    <cellStyle name="Обычный 2 2 11 3 2 3" xfId="4213"/>
    <cellStyle name="Обычный 2 2 11 3 3" xfId="4214"/>
    <cellStyle name="Обычный 2 2 11 3 4" xfId="4215"/>
    <cellStyle name="Обычный 2 2 11 4" xfId="4216"/>
    <cellStyle name="Обычный 2 2 11 4 2" xfId="4217"/>
    <cellStyle name="Обычный 2 2 11 4 3" xfId="4218"/>
    <cellStyle name="Обычный 2 2 11 5" xfId="4219"/>
    <cellStyle name="Обычный 2 2 11 6" xfId="4220"/>
    <cellStyle name="Обычный 2 2 11_Расчет  30 млн_Технополис  Коренькова" xfId="4221"/>
    <cellStyle name="Обычный 2 2 12" xfId="4222"/>
    <cellStyle name="Обычный 2 2 13" xfId="4223"/>
    <cellStyle name="Обычный 2 2 2" xfId="4224"/>
    <cellStyle name="Обычный 2 2 2 10" xfId="4225"/>
    <cellStyle name="Обычный 2 2 2 10 2" xfId="4226"/>
    <cellStyle name="Обычный 2 2 2 10 3" xfId="4227"/>
    <cellStyle name="Обычный 2 2 2 11" xfId="4228"/>
    <cellStyle name="Обычный 2 2 2 12" xfId="4229"/>
    <cellStyle name="Обычный 2 2 2 13" xfId="4230"/>
    <cellStyle name="Обычный 2 2 2 14" xfId="4231"/>
    <cellStyle name="Обычный 2 2 2 15" xfId="4232"/>
    <cellStyle name="Обычный 2 2 2 16" xfId="4233"/>
    <cellStyle name="Обычный 2 2 2 2" xfId="4234"/>
    <cellStyle name="Обычный 2 2 2 2 10" xfId="4235"/>
    <cellStyle name="Обычный 2 2 2 2 10 10" xfId="4236"/>
    <cellStyle name="Обычный 2 2 2 2 10 2" xfId="4237"/>
    <cellStyle name="Обычный 2 2 2 2 10 2 2" xfId="4238"/>
    <cellStyle name="Обычный 2 2 2 2 10 2 2 2" xfId="4239"/>
    <cellStyle name="Обычный 2 2 2 2 10 2 2 2 2" xfId="4240"/>
    <cellStyle name="Обычный 2 2 2 2 10 2 2 2 3" xfId="4241"/>
    <cellStyle name="Обычный 2 2 2 2 10 2 2 3" xfId="4242"/>
    <cellStyle name="Обычный 2 2 2 2 10 2 2 4" xfId="4243"/>
    <cellStyle name="Обычный 2 2 2 2 10 2 3" xfId="4244"/>
    <cellStyle name="Обычный 2 2 2 2 10 2 3 2" xfId="4245"/>
    <cellStyle name="Обычный 2 2 2 2 10 2 3 3" xfId="4246"/>
    <cellStyle name="Обычный 2 2 2 2 10 2 4" xfId="4247"/>
    <cellStyle name="Обычный 2 2 2 2 10 2 5" xfId="4248"/>
    <cellStyle name="Обычный 2 2 2 2 10 3" xfId="4249"/>
    <cellStyle name="Обычный 2 2 2 2 10 3 2" xfId="4250"/>
    <cellStyle name="Обычный 2 2 2 2 10 3 2 2" xfId="4251"/>
    <cellStyle name="Обычный 2 2 2 2 10 3 2 2 2" xfId="4252"/>
    <cellStyle name="Обычный 2 2 2 2 10 3 2 2 3" xfId="4253"/>
    <cellStyle name="Обычный 2 2 2 2 10 3 2 3" xfId="4254"/>
    <cellStyle name="Обычный 2 2 2 2 10 3 2 4" xfId="4255"/>
    <cellStyle name="Обычный 2 2 2 2 10 3 3" xfId="4256"/>
    <cellStyle name="Обычный 2 2 2 2 10 3 3 2" xfId="4257"/>
    <cellStyle name="Обычный 2 2 2 2 10 3 3 3" xfId="4258"/>
    <cellStyle name="Обычный 2 2 2 2 10 3 4" xfId="4259"/>
    <cellStyle name="Обычный 2 2 2 2 10 3 5" xfId="4260"/>
    <cellStyle name="Обычный 2 2 2 2 10 4" xfId="4261"/>
    <cellStyle name="Обычный 2 2 2 2 10 4 2" xfId="4262"/>
    <cellStyle name="Обычный 2 2 2 2 10 4 2 2" xfId="4263"/>
    <cellStyle name="Обычный 2 2 2 2 10 4 2 2 2" xfId="4264"/>
    <cellStyle name="Обычный 2 2 2 2 10 4 2 2 3" xfId="4265"/>
    <cellStyle name="Обычный 2 2 2 2 10 4 2 3" xfId="4266"/>
    <cellStyle name="Обычный 2 2 2 2 10 4 2 4" xfId="4267"/>
    <cellStyle name="Обычный 2 2 2 2 10 4 3" xfId="4268"/>
    <cellStyle name="Обычный 2 2 2 2 10 4 3 2" xfId="4269"/>
    <cellStyle name="Обычный 2 2 2 2 10 4 3 3" xfId="4270"/>
    <cellStyle name="Обычный 2 2 2 2 10 4 4" xfId="4271"/>
    <cellStyle name="Обычный 2 2 2 2 10 4 5" xfId="4272"/>
    <cellStyle name="Обычный 2 2 2 2 10 5" xfId="4273"/>
    <cellStyle name="Обычный 2 2 2 2 10 5 2" xfId="4274"/>
    <cellStyle name="Обычный 2 2 2 2 10 5 2 2" xfId="4275"/>
    <cellStyle name="Обычный 2 2 2 2 10 5 2 2 2" xfId="4276"/>
    <cellStyle name="Обычный 2 2 2 2 10 5 2 2 3" xfId="4277"/>
    <cellStyle name="Обычный 2 2 2 2 10 5 2 3" xfId="4278"/>
    <cellStyle name="Обычный 2 2 2 2 10 5 2 4" xfId="4279"/>
    <cellStyle name="Обычный 2 2 2 2 10 5 3" xfId="4280"/>
    <cellStyle name="Обычный 2 2 2 2 10 5 3 2" xfId="4281"/>
    <cellStyle name="Обычный 2 2 2 2 10 5 3 3" xfId="4282"/>
    <cellStyle name="Обычный 2 2 2 2 10 5 4" xfId="4283"/>
    <cellStyle name="Обычный 2 2 2 2 10 5 5" xfId="4284"/>
    <cellStyle name="Обычный 2 2 2 2 10 6" xfId="4285"/>
    <cellStyle name="Обычный 2 2 2 2 10 6 2" xfId="4286"/>
    <cellStyle name="Обычный 2 2 2 2 10 6 2 2" xfId="4287"/>
    <cellStyle name="Обычный 2 2 2 2 10 6 2 2 2" xfId="4288"/>
    <cellStyle name="Обычный 2 2 2 2 10 6 2 2 3" xfId="4289"/>
    <cellStyle name="Обычный 2 2 2 2 10 6 2 3" xfId="4290"/>
    <cellStyle name="Обычный 2 2 2 2 10 6 2 4" xfId="4291"/>
    <cellStyle name="Обычный 2 2 2 2 10 6 3" xfId="4292"/>
    <cellStyle name="Обычный 2 2 2 2 10 6 3 2" xfId="4293"/>
    <cellStyle name="Обычный 2 2 2 2 10 6 3 3" xfId="4294"/>
    <cellStyle name="Обычный 2 2 2 2 10 6 4" xfId="4295"/>
    <cellStyle name="Обычный 2 2 2 2 10 6 5" xfId="4296"/>
    <cellStyle name="Обычный 2 2 2 2 10 7" xfId="4297"/>
    <cellStyle name="Обычный 2 2 2 2 10 7 2" xfId="4298"/>
    <cellStyle name="Обычный 2 2 2 2 10 7 2 2" xfId="4299"/>
    <cellStyle name="Обычный 2 2 2 2 10 7 2 3" xfId="4300"/>
    <cellStyle name="Обычный 2 2 2 2 10 7 3" xfId="4301"/>
    <cellStyle name="Обычный 2 2 2 2 10 7 4" xfId="4302"/>
    <cellStyle name="Обычный 2 2 2 2 10 8" xfId="4303"/>
    <cellStyle name="Обычный 2 2 2 2 10 8 2" xfId="4304"/>
    <cellStyle name="Обычный 2 2 2 2 10 8 3" xfId="4305"/>
    <cellStyle name="Обычный 2 2 2 2 10 9" xfId="4306"/>
    <cellStyle name="Обычный 2 2 2 2 10_Расчет  30 млн_Технополис  Коренькова" xfId="4307"/>
    <cellStyle name="Обычный 2 2 2 2 11" xfId="4308"/>
    <cellStyle name="Обычный 2 2 2 2 11 10" xfId="4309"/>
    <cellStyle name="Обычный 2 2 2 2 11 2" xfId="4310"/>
    <cellStyle name="Обычный 2 2 2 2 11 2 2" xfId="4311"/>
    <cellStyle name="Обычный 2 2 2 2 11 2 2 2" xfId="4312"/>
    <cellStyle name="Обычный 2 2 2 2 11 2 2 2 2" xfId="4313"/>
    <cellStyle name="Обычный 2 2 2 2 11 2 2 2 3" xfId="4314"/>
    <cellStyle name="Обычный 2 2 2 2 11 2 2 3" xfId="4315"/>
    <cellStyle name="Обычный 2 2 2 2 11 2 2 4" xfId="4316"/>
    <cellStyle name="Обычный 2 2 2 2 11 2 3" xfId="4317"/>
    <cellStyle name="Обычный 2 2 2 2 11 2 3 2" xfId="4318"/>
    <cellStyle name="Обычный 2 2 2 2 11 2 3 3" xfId="4319"/>
    <cellStyle name="Обычный 2 2 2 2 11 2 4" xfId="4320"/>
    <cellStyle name="Обычный 2 2 2 2 11 2 5" xfId="4321"/>
    <cellStyle name="Обычный 2 2 2 2 11 3" xfId="4322"/>
    <cellStyle name="Обычный 2 2 2 2 11 3 2" xfId="4323"/>
    <cellStyle name="Обычный 2 2 2 2 11 3 2 2" xfId="4324"/>
    <cellStyle name="Обычный 2 2 2 2 11 3 2 2 2" xfId="4325"/>
    <cellStyle name="Обычный 2 2 2 2 11 3 2 2 3" xfId="4326"/>
    <cellStyle name="Обычный 2 2 2 2 11 3 2 3" xfId="4327"/>
    <cellStyle name="Обычный 2 2 2 2 11 3 2 4" xfId="4328"/>
    <cellStyle name="Обычный 2 2 2 2 11 3 3" xfId="4329"/>
    <cellStyle name="Обычный 2 2 2 2 11 3 3 2" xfId="4330"/>
    <cellStyle name="Обычный 2 2 2 2 11 3 3 3" xfId="4331"/>
    <cellStyle name="Обычный 2 2 2 2 11 3 4" xfId="4332"/>
    <cellStyle name="Обычный 2 2 2 2 11 3 5" xfId="4333"/>
    <cellStyle name="Обычный 2 2 2 2 11 4" xfId="4334"/>
    <cellStyle name="Обычный 2 2 2 2 11 4 2" xfId="4335"/>
    <cellStyle name="Обычный 2 2 2 2 11 4 2 2" xfId="4336"/>
    <cellStyle name="Обычный 2 2 2 2 11 4 2 2 2" xfId="4337"/>
    <cellStyle name="Обычный 2 2 2 2 11 4 2 2 3" xfId="4338"/>
    <cellStyle name="Обычный 2 2 2 2 11 4 2 3" xfId="4339"/>
    <cellStyle name="Обычный 2 2 2 2 11 4 2 4" xfId="4340"/>
    <cellStyle name="Обычный 2 2 2 2 11 4 3" xfId="4341"/>
    <cellStyle name="Обычный 2 2 2 2 11 4 3 2" xfId="4342"/>
    <cellStyle name="Обычный 2 2 2 2 11 4 3 3" xfId="4343"/>
    <cellStyle name="Обычный 2 2 2 2 11 4 4" xfId="4344"/>
    <cellStyle name="Обычный 2 2 2 2 11 4 5" xfId="4345"/>
    <cellStyle name="Обычный 2 2 2 2 11 5" xfId="4346"/>
    <cellStyle name="Обычный 2 2 2 2 11 5 2" xfId="4347"/>
    <cellStyle name="Обычный 2 2 2 2 11 5 2 2" xfId="4348"/>
    <cellStyle name="Обычный 2 2 2 2 11 5 2 2 2" xfId="4349"/>
    <cellStyle name="Обычный 2 2 2 2 11 5 2 2 3" xfId="4350"/>
    <cellStyle name="Обычный 2 2 2 2 11 5 2 3" xfId="4351"/>
    <cellStyle name="Обычный 2 2 2 2 11 5 2 4" xfId="4352"/>
    <cellStyle name="Обычный 2 2 2 2 11 5 3" xfId="4353"/>
    <cellStyle name="Обычный 2 2 2 2 11 5 3 2" xfId="4354"/>
    <cellStyle name="Обычный 2 2 2 2 11 5 3 3" xfId="4355"/>
    <cellStyle name="Обычный 2 2 2 2 11 5 4" xfId="4356"/>
    <cellStyle name="Обычный 2 2 2 2 11 5 5" xfId="4357"/>
    <cellStyle name="Обычный 2 2 2 2 11 6" xfId="4358"/>
    <cellStyle name="Обычный 2 2 2 2 11 6 2" xfId="4359"/>
    <cellStyle name="Обычный 2 2 2 2 11 6 2 2" xfId="4360"/>
    <cellStyle name="Обычный 2 2 2 2 11 6 2 2 2" xfId="4361"/>
    <cellStyle name="Обычный 2 2 2 2 11 6 2 2 3" xfId="4362"/>
    <cellStyle name="Обычный 2 2 2 2 11 6 2 3" xfId="4363"/>
    <cellStyle name="Обычный 2 2 2 2 11 6 2 4" xfId="4364"/>
    <cellStyle name="Обычный 2 2 2 2 11 6 3" xfId="4365"/>
    <cellStyle name="Обычный 2 2 2 2 11 6 3 2" xfId="4366"/>
    <cellStyle name="Обычный 2 2 2 2 11 6 3 3" xfId="4367"/>
    <cellStyle name="Обычный 2 2 2 2 11 6 4" xfId="4368"/>
    <cellStyle name="Обычный 2 2 2 2 11 6 5" xfId="4369"/>
    <cellStyle name="Обычный 2 2 2 2 11 7" xfId="4370"/>
    <cellStyle name="Обычный 2 2 2 2 11 7 2" xfId="4371"/>
    <cellStyle name="Обычный 2 2 2 2 11 7 2 2" xfId="4372"/>
    <cellStyle name="Обычный 2 2 2 2 11 7 2 3" xfId="4373"/>
    <cellStyle name="Обычный 2 2 2 2 11 7 3" xfId="4374"/>
    <cellStyle name="Обычный 2 2 2 2 11 7 4" xfId="4375"/>
    <cellStyle name="Обычный 2 2 2 2 11 8" xfId="4376"/>
    <cellStyle name="Обычный 2 2 2 2 11 8 2" xfId="4377"/>
    <cellStyle name="Обычный 2 2 2 2 11 8 3" xfId="4378"/>
    <cellStyle name="Обычный 2 2 2 2 11 9" xfId="4379"/>
    <cellStyle name="Обычный 2 2 2 2 11_Расчет  30 млн_Технополис  Коренькова" xfId="4380"/>
    <cellStyle name="Обычный 2 2 2 2 12" xfId="4381"/>
    <cellStyle name="Обычный 2 2 2 2 12 10" xfId="4382"/>
    <cellStyle name="Обычный 2 2 2 2 12 2" xfId="4383"/>
    <cellStyle name="Обычный 2 2 2 2 12 2 2" xfId="4384"/>
    <cellStyle name="Обычный 2 2 2 2 12 2 2 2" xfId="4385"/>
    <cellStyle name="Обычный 2 2 2 2 12 2 2 2 2" xfId="4386"/>
    <cellStyle name="Обычный 2 2 2 2 12 2 2 2 3" xfId="4387"/>
    <cellStyle name="Обычный 2 2 2 2 12 2 2 3" xfId="4388"/>
    <cellStyle name="Обычный 2 2 2 2 12 2 2 4" xfId="4389"/>
    <cellStyle name="Обычный 2 2 2 2 12 2 3" xfId="4390"/>
    <cellStyle name="Обычный 2 2 2 2 12 2 3 2" xfId="4391"/>
    <cellStyle name="Обычный 2 2 2 2 12 2 3 3" xfId="4392"/>
    <cellStyle name="Обычный 2 2 2 2 12 2 4" xfId="4393"/>
    <cellStyle name="Обычный 2 2 2 2 12 2 5" xfId="4394"/>
    <cellStyle name="Обычный 2 2 2 2 12 3" xfId="4395"/>
    <cellStyle name="Обычный 2 2 2 2 12 3 2" xfId="4396"/>
    <cellStyle name="Обычный 2 2 2 2 12 3 2 2" xfId="4397"/>
    <cellStyle name="Обычный 2 2 2 2 12 3 2 2 2" xfId="4398"/>
    <cellStyle name="Обычный 2 2 2 2 12 3 2 2 3" xfId="4399"/>
    <cellStyle name="Обычный 2 2 2 2 12 3 2 3" xfId="4400"/>
    <cellStyle name="Обычный 2 2 2 2 12 3 2 4" xfId="4401"/>
    <cellStyle name="Обычный 2 2 2 2 12 3 3" xfId="4402"/>
    <cellStyle name="Обычный 2 2 2 2 12 3 3 2" xfId="4403"/>
    <cellStyle name="Обычный 2 2 2 2 12 3 3 3" xfId="4404"/>
    <cellStyle name="Обычный 2 2 2 2 12 3 4" xfId="4405"/>
    <cellStyle name="Обычный 2 2 2 2 12 3 5" xfId="4406"/>
    <cellStyle name="Обычный 2 2 2 2 12 4" xfId="4407"/>
    <cellStyle name="Обычный 2 2 2 2 12 4 2" xfId="4408"/>
    <cellStyle name="Обычный 2 2 2 2 12 4 2 2" xfId="4409"/>
    <cellStyle name="Обычный 2 2 2 2 12 4 2 2 2" xfId="4410"/>
    <cellStyle name="Обычный 2 2 2 2 12 4 2 2 3" xfId="4411"/>
    <cellStyle name="Обычный 2 2 2 2 12 4 2 3" xfId="4412"/>
    <cellStyle name="Обычный 2 2 2 2 12 4 2 4" xfId="4413"/>
    <cellStyle name="Обычный 2 2 2 2 12 4 3" xfId="4414"/>
    <cellStyle name="Обычный 2 2 2 2 12 4 3 2" xfId="4415"/>
    <cellStyle name="Обычный 2 2 2 2 12 4 3 3" xfId="4416"/>
    <cellStyle name="Обычный 2 2 2 2 12 4 4" xfId="4417"/>
    <cellStyle name="Обычный 2 2 2 2 12 4 5" xfId="4418"/>
    <cellStyle name="Обычный 2 2 2 2 12 5" xfId="4419"/>
    <cellStyle name="Обычный 2 2 2 2 12 5 2" xfId="4420"/>
    <cellStyle name="Обычный 2 2 2 2 12 5 2 2" xfId="4421"/>
    <cellStyle name="Обычный 2 2 2 2 12 5 2 2 2" xfId="4422"/>
    <cellStyle name="Обычный 2 2 2 2 12 5 2 2 3" xfId="4423"/>
    <cellStyle name="Обычный 2 2 2 2 12 5 2 3" xfId="4424"/>
    <cellStyle name="Обычный 2 2 2 2 12 5 2 4" xfId="4425"/>
    <cellStyle name="Обычный 2 2 2 2 12 5 3" xfId="4426"/>
    <cellStyle name="Обычный 2 2 2 2 12 5 3 2" xfId="4427"/>
    <cellStyle name="Обычный 2 2 2 2 12 5 3 3" xfId="4428"/>
    <cellStyle name="Обычный 2 2 2 2 12 5 4" xfId="4429"/>
    <cellStyle name="Обычный 2 2 2 2 12 5 5" xfId="4430"/>
    <cellStyle name="Обычный 2 2 2 2 12 6" xfId="4431"/>
    <cellStyle name="Обычный 2 2 2 2 12 6 2" xfId="4432"/>
    <cellStyle name="Обычный 2 2 2 2 12 6 2 2" xfId="4433"/>
    <cellStyle name="Обычный 2 2 2 2 12 6 2 2 2" xfId="4434"/>
    <cellStyle name="Обычный 2 2 2 2 12 6 2 2 3" xfId="4435"/>
    <cellStyle name="Обычный 2 2 2 2 12 6 2 3" xfId="4436"/>
    <cellStyle name="Обычный 2 2 2 2 12 6 2 4" xfId="4437"/>
    <cellStyle name="Обычный 2 2 2 2 12 6 3" xfId="4438"/>
    <cellStyle name="Обычный 2 2 2 2 12 6 3 2" xfId="4439"/>
    <cellStyle name="Обычный 2 2 2 2 12 6 3 3" xfId="4440"/>
    <cellStyle name="Обычный 2 2 2 2 12 6 4" xfId="4441"/>
    <cellStyle name="Обычный 2 2 2 2 12 6 5" xfId="4442"/>
    <cellStyle name="Обычный 2 2 2 2 12 7" xfId="4443"/>
    <cellStyle name="Обычный 2 2 2 2 12 7 2" xfId="4444"/>
    <cellStyle name="Обычный 2 2 2 2 12 7 2 2" xfId="4445"/>
    <cellStyle name="Обычный 2 2 2 2 12 7 2 3" xfId="4446"/>
    <cellStyle name="Обычный 2 2 2 2 12 7 3" xfId="4447"/>
    <cellStyle name="Обычный 2 2 2 2 12 7 4" xfId="4448"/>
    <cellStyle name="Обычный 2 2 2 2 12 8" xfId="4449"/>
    <cellStyle name="Обычный 2 2 2 2 12 8 2" xfId="4450"/>
    <cellStyle name="Обычный 2 2 2 2 12 8 3" xfId="4451"/>
    <cellStyle name="Обычный 2 2 2 2 12 9" xfId="4452"/>
    <cellStyle name="Обычный 2 2 2 2 12_Расчет  30 млн_Технополис  Коренькова" xfId="4453"/>
    <cellStyle name="Обычный 2 2 2 2 13" xfId="4454"/>
    <cellStyle name="Обычный 2 2 2 2 13 2" xfId="4455"/>
    <cellStyle name="Обычный 2 2 2 2 13 2 2" xfId="4456"/>
    <cellStyle name="Обычный 2 2 2 2 13 2 2 2" xfId="4457"/>
    <cellStyle name="Обычный 2 2 2 2 13 2 2 3" xfId="4458"/>
    <cellStyle name="Обычный 2 2 2 2 13 2 3" xfId="4459"/>
    <cellStyle name="Обычный 2 2 2 2 13 2 4" xfId="4460"/>
    <cellStyle name="Обычный 2 2 2 2 13 3" xfId="4461"/>
    <cellStyle name="Обычный 2 2 2 2 13 3 2" xfId="4462"/>
    <cellStyle name="Обычный 2 2 2 2 13 3 3" xfId="4463"/>
    <cellStyle name="Обычный 2 2 2 2 13 4" xfId="4464"/>
    <cellStyle name="Обычный 2 2 2 2 13 5" xfId="4465"/>
    <cellStyle name="Обычный 2 2 2 2 14" xfId="4466"/>
    <cellStyle name="Обычный 2 2 2 2 14 2" xfId="4467"/>
    <cellStyle name="Обычный 2 2 2 2 14 2 2" xfId="4468"/>
    <cellStyle name="Обычный 2 2 2 2 14 2 2 2" xfId="4469"/>
    <cellStyle name="Обычный 2 2 2 2 14 2 2 3" xfId="4470"/>
    <cellStyle name="Обычный 2 2 2 2 14 2 3" xfId="4471"/>
    <cellStyle name="Обычный 2 2 2 2 14 2 4" xfId="4472"/>
    <cellStyle name="Обычный 2 2 2 2 14 3" xfId="4473"/>
    <cellStyle name="Обычный 2 2 2 2 14 3 2" xfId="4474"/>
    <cellStyle name="Обычный 2 2 2 2 14 3 3" xfId="4475"/>
    <cellStyle name="Обычный 2 2 2 2 14 4" xfId="4476"/>
    <cellStyle name="Обычный 2 2 2 2 14 5" xfId="4477"/>
    <cellStyle name="Обычный 2 2 2 2 15" xfId="4478"/>
    <cellStyle name="Обычный 2 2 2 2 15 2" xfId="4479"/>
    <cellStyle name="Обычный 2 2 2 2 15 2 2" xfId="4480"/>
    <cellStyle name="Обычный 2 2 2 2 15 2 2 2" xfId="4481"/>
    <cellStyle name="Обычный 2 2 2 2 15 2 2 3" xfId="4482"/>
    <cellStyle name="Обычный 2 2 2 2 15 2 3" xfId="4483"/>
    <cellStyle name="Обычный 2 2 2 2 15 2 4" xfId="4484"/>
    <cellStyle name="Обычный 2 2 2 2 15 3" xfId="4485"/>
    <cellStyle name="Обычный 2 2 2 2 15 3 2" xfId="4486"/>
    <cellStyle name="Обычный 2 2 2 2 15 3 3" xfId="4487"/>
    <cellStyle name="Обычный 2 2 2 2 15 4" xfId="4488"/>
    <cellStyle name="Обычный 2 2 2 2 15 5" xfId="4489"/>
    <cellStyle name="Обычный 2 2 2 2 16" xfId="4490"/>
    <cellStyle name="Обычный 2 2 2 2 16 2" xfId="4491"/>
    <cellStyle name="Обычный 2 2 2 2 16 2 2" xfId="4492"/>
    <cellStyle name="Обычный 2 2 2 2 16 2 2 2" xfId="4493"/>
    <cellStyle name="Обычный 2 2 2 2 16 2 2 3" xfId="4494"/>
    <cellStyle name="Обычный 2 2 2 2 16 2 3" xfId="4495"/>
    <cellStyle name="Обычный 2 2 2 2 16 2 4" xfId="4496"/>
    <cellStyle name="Обычный 2 2 2 2 16 3" xfId="4497"/>
    <cellStyle name="Обычный 2 2 2 2 16 3 2" xfId="4498"/>
    <cellStyle name="Обычный 2 2 2 2 16 3 3" xfId="4499"/>
    <cellStyle name="Обычный 2 2 2 2 16 4" xfId="4500"/>
    <cellStyle name="Обычный 2 2 2 2 16 5" xfId="4501"/>
    <cellStyle name="Обычный 2 2 2 2 17" xfId="4502"/>
    <cellStyle name="Обычный 2 2 2 2 17 2" xfId="4503"/>
    <cellStyle name="Обычный 2 2 2 2 17 2 2" xfId="4504"/>
    <cellStyle name="Обычный 2 2 2 2 17 2 2 2" xfId="4505"/>
    <cellStyle name="Обычный 2 2 2 2 17 2 2 3" xfId="4506"/>
    <cellStyle name="Обычный 2 2 2 2 17 2 3" xfId="4507"/>
    <cellStyle name="Обычный 2 2 2 2 17 2 4" xfId="4508"/>
    <cellStyle name="Обычный 2 2 2 2 17 3" xfId="4509"/>
    <cellStyle name="Обычный 2 2 2 2 17 3 2" xfId="4510"/>
    <cellStyle name="Обычный 2 2 2 2 17 3 3" xfId="4511"/>
    <cellStyle name="Обычный 2 2 2 2 17 4" xfId="4512"/>
    <cellStyle name="Обычный 2 2 2 2 17 5" xfId="4513"/>
    <cellStyle name="Обычный 2 2 2 2 18" xfId="4514"/>
    <cellStyle name="Обычный 2 2 2 2 18 2" xfId="4515"/>
    <cellStyle name="Обычный 2 2 2 2 18 2 2" xfId="4516"/>
    <cellStyle name="Обычный 2 2 2 2 18 2 3" xfId="4517"/>
    <cellStyle name="Обычный 2 2 2 2 18 3" xfId="4518"/>
    <cellStyle name="Обычный 2 2 2 2 18 4" xfId="4519"/>
    <cellStyle name="Обычный 2 2 2 2 19" xfId="4520"/>
    <cellStyle name="Обычный 2 2 2 2 19 2" xfId="4521"/>
    <cellStyle name="Обычный 2 2 2 2 19 3" xfId="4522"/>
    <cellStyle name="Обычный 2 2 2 2 2" xfId="4523"/>
    <cellStyle name="Обычный 2 2 2 2 2 10" xfId="4524"/>
    <cellStyle name="Обычный 2 2 2 2 2 11" xfId="4525"/>
    <cellStyle name="Обычный 2 2 2 2 2 2" xfId="4526"/>
    <cellStyle name="Обычный 2 2 2 2 2 3" xfId="4527"/>
    <cellStyle name="Обычный 2 2 2 2 2 4" xfId="4528"/>
    <cellStyle name="Обычный 2 2 2 2 2 4 10" xfId="4529"/>
    <cellStyle name="Обычный 2 2 2 2 2 4 10 2" xfId="4530"/>
    <cellStyle name="Обычный 2 2 2 2 2 4 10 2 2" xfId="4531"/>
    <cellStyle name="Обычный 2 2 2 2 2 4 10 2 3" xfId="4532"/>
    <cellStyle name="Обычный 2 2 2 2 2 4 10 3" xfId="4533"/>
    <cellStyle name="Обычный 2 2 2 2 2 4 10 4" xfId="4534"/>
    <cellStyle name="Обычный 2 2 2 2 2 4 11" xfId="4535"/>
    <cellStyle name="Обычный 2 2 2 2 2 4 11 2" xfId="4536"/>
    <cellStyle name="Обычный 2 2 2 2 2 4 11 3" xfId="4537"/>
    <cellStyle name="Обычный 2 2 2 2 2 4 12" xfId="4538"/>
    <cellStyle name="Обычный 2 2 2 2 2 4 13" xfId="4539"/>
    <cellStyle name="Обычный 2 2 2 2 2 4 2" xfId="4540"/>
    <cellStyle name="Обычный 2 2 2 2 2 4 2 10" xfId="4541"/>
    <cellStyle name="Обычный 2 2 2 2 2 4 2 2" xfId="4542"/>
    <cellStyle name="Обычный 2 2 2 2 2 4 2 2 2" xfId="4543"/>
    <cellStyle name="Обычный 2 2 2 2 2 4 2 2 2 2" xfId="4544"/>
    <cellStyle name="Обычный 2 2 2 2 2 4 2 2 2 2 2" xfId="4545"/>
    <cellStyle name="Обычный 2 2 2 2 2 4 2 2 2 2 3" xfId="4546"/>
    <cellStyle name="Обычный 2 2 2 2 2 4 2 2 2 3" xfId="4547"/>
    <cellStyle name="Обычный 2 2 2 2 2 4 2 2 2 4" xfId="4548"/>
    <cellStyle name="Обычный 2 2 2 2 2 4 2 2 3" xfId="4549"/>
    <cellStyle name="Обычный 2 2 2 2 2 4 2 2 3 2" xfId="4550"/>
    <cellStyle name="Обычный 2 2 2 2 2 4 2 2 3 3" xfId="4551"/>
    <cellStyle name="Обычный 2 2 2 2 2 4 2 2 4" xfId="4552"/>
    <cellStyle name="Обычный 2 2 2 2 2 4 2 2 5" xfId="4553"/>
    <cellStyle name="Обычный 2 2 2 2 2 4 2 3" xfId="4554"/>
    <cellStyle name="Обычный 2 2 2 2 2 4 2 3 2" xfId="4555"/>
    <cellStyle name="Обычный 2 2 2 2 2 4 2 3 2 2" xfId="4556"/>
    <cellStyle name="Обычный 2 2 2 2 2 4 2 3 2 2 2" xfId="4557"/>
    <cellStyle name="Обычный 2 2 2 2 2 4 2 3 2 2 3" xfId="4558"/>
    <cellStyle name="Обычный 2 2 2 2 2 4 2 3 2 3" xfId="4559"/>
    <cellStyle name="Обычный 2 2 2 2 2 4 2 3 2 4" xfId="4560"/>
    <cellStyle name="Обычный 2 2 2 2 2 4 2 3 3" xfId="4561"/>
    <cellStyle name="Обычный 2 2 2 2 2 4 2 3 3 2" xfId="4562"/>
    <cellStyle name="Обычный 2 2 2 2 2 4 2 3 3 3" xfId="4563"/>
    <cellStyle name="Обычный 2 2 2 2 2 4 2 3 4" xfId="4564"/>
    <cellStyle name="Обычный 2 2 2 2 2 4 2 3 5" xfId="4565"/>
    <cellStyle name="Обычный 2 2 2 2 2 4 2 4" xfId="4566"/>
    <cellStyle name="Обычный 2 2 2 2 2 4 2 4 2" xfId="4567"/>
    <cellStyle name="Обычный 2 2 2 2 2 4 2 4 2 2" xfId="4568"/>
    <cellStyle name="Обычный 2 2 2 2 2 4 2 4 2 2 2" xfId="4569"/>
    <cellStyle name="Обычный 2 2 2 2 2 4 2 4 2 2 3" xfId="4570"/>
    <cellStyle name="Обычный 2 2 2 2 2 4 2 4 2 3" xfId="4571"/>
    <cellStyle name="Обычный 2 2 2 2 2 4 2 4 2 4" xfId="4572"/>
    <cellStyle name="Обычный 2 2 2 2 2 4 2 4 3" xfId="4573"/>
    <cellStyle name="Обычный 2 2 2 2 2 4 2 4 3 2" xfId="4574"/>
    <cellStyle name="Обычный 2 2 2 2 2 4 2 4 3 3" xfId="4575"/>
    <cellStyle name="Обычный 2 2 2 2 2 4 2 4 4" xfId="4576"/>
    <cellStyle name="Обычный 2 2 2 2 2 4 2 4 5" xfId="4577"/>
    <cellStyle name="Обычный 2 2 2 2 2 4 2 5" xfId="4578"/>
    <cellStyle name="Обычный 2 2 2 2 2 4 2 5 2" xfId="4579"/>
    <cellStyle name="Обычный 2 2 2 2 2 4 2 5 2 2" xfId="4580"/>
    <cellStyle name="Обычный 2 2 2 2 2 4 2 5 2 2 2" xfId="4581"/>
    <cellStyle name="Обычный 2 2 2 2 2 4 2 5 2 2 3" xfId="4582"/>
    <cellStyle name="Обычный 2 2 2 2 2 4 2 5 2 3" xfId="4583"/>
    <cellStyle name="Обычный 2 2 2 2 2 4 2 5 2 4" xfId="4584"/>
    <cellStyle name="Обычный 2 2 2 2 2 4 2 5 3" xfId="4585"/>
    <cellStyle name="Обычный 2 2 2 2 2 4 2 5 3 2" xfId="4586"/>
    <cellStyle name="Обычный 2 2 2 2 2 4 2 5 3 3" xfId="4587"/>
    <cellStyle name="Обычный 2 2 2 2 2 4 2 5 4" xfId="4588"/>
    <cellStyle name="Обычный 2 2 2 2 2 4 2 5 5" xfId="4589"/>
    <cellStyle name="Обычный 2 2 2 2 2 4 2 6" xfId="4590"/>
    <cellStyle name="Обычный 2 2 2 2 2 4 2 6 2" xfId="4591"/>
    <cellStyle name="Обычный 2 2 2 2 2 4 2 6 2 2" xfId="4592"/>
    <cellStyle name="Обычный 2 2 2 2 2 4 2 6 2 2 2" xfId="4593"/>
    <cellStyle name="Обычный 2 2 2 2 2 4 2 6 2 2 3" xfId="4594"/>
    <cellStyle name="Обычный 2 2 2 2 2 4 2 6 2 3" xfId="4595"/>
    <cellStyle name="Обычный 2 2 2 2 2 4 2 6 2 4" xfId="4596"/>
    <cellStyle name="Обычный 2 2 2 2 2 4 2 6 3" xfId="4597"/>
    <cellStyle name="Обычный 2 2 2 2 2 4 2 6 3 2" xfId="4598"/>
    <cellStyle name="Обычный 2 2 2 2 2 4 2 6 3 3" xfId="4599"/>
    <cellStyle name="Обычный 2 2 2 2 2 4 2 6 4" xfId="4600"/>
    <cellStyle name="Обычный 2 2 2 2 2 4 2 6 5" xfId="4601"/>
    <cellStyle name="Обычный 2 2 2 2 2 4 2 7" xfId="4602"/>
    <cellStyle name="Обычный 2 2 2 2 2 4 2 7 2" xfId="4603"/>
    <cellStyle name="Обычный 2 2 2 2 2 4 2 7 2 2" xfId="4604"/>
    <cellStyle name="Обычный 2 2 2 2 2 4 2 7 2 3" xfId="4605"/>
    <cellStyle name="Обычный 2 2 2 2 2 4 2 7 3" xfId="4606"/>
    <cellStyle name="Обычный 2 2 2 2 2 4 2 7 4" xfId="4607"/>
    <cellStyle name="Обычный 2 2 2 2 2 4 2 8" xfId="4608"/>
    <cellStyle name="Обычный 2 2 2 2 2 4 2 8 2" xfId="4609"/>
    <cellStyle name="Обычный 2 2 2 2 2 4 2 8 3" xfId="4610"/>
    <cellStyle name="Обычный 2 2 2 2 2 4 2 9" xfId="4611"/>
    <cellStyle name="Обычный 2 2 2 2 2 4 2_Расчет  30 млн_Технополис  Коренькова" xfId="4612"/>
    <cellStyle name="Обычный 2 2 2 2 2 4 3" xfId="4613"/>
    <cellStyle name="Обычный 2 2 2 2 2 4 3 10" xfId="4614"/>
    <cellStyle name="Обычный 2 2 2 2 2 4 3 2" xfId="4615"/>
    <cellStyle name="Обычный 2 2 2 2 2 4 3 2 2" xfId="4616"/>
    <cellStyle name="Обычный 2 2 2 2 2 4 3 2 2 2" xfId="4617"/>
    <cellStyle name="Обычный 2 2 2 2 2 4 3 2 2 2 2" xfId="4618"/>
    <cellStyle name="Обычный 2 2 2 2 2 4 3 2 2 2 3" xfId="4619"/>
    <cellStyle name="Обычный 2 2 2 2 2 4 3 2 2 3" xfId="4620"/>
    <cellStyle name="Обычный 2 2 2 2 2 4 3 2 2 4" xfId="4621"/>
    <cellStyle name="Обычный 2 2 2 2 2 4 3 2 3" xfId="4622"/>
    <cellStyle name="Обычный 2 2 2 2 2 4 3 2 3 2" xfId="4623"/>
    <cellStyle name="Обычный 2 2 2 2 2 4 3 2 3 3" xfId="4624"/>
    <cellStyle name="Обычный 2 2 2 2 2 4 3 2 4" xfId="4625"/>
    <cellStyle name="Обычный 2 2 2 2 2 4 3 2 5" xfId="4626"/>
    <cellStyle name="Обычный 2 2 2 2 2 4 3 3" xfId="4627"/>
    <cellStyle name="Обычный 2 2 2 2 2 4 3 3 2" xfId="4628"/>
    <cellStyle name="Обычный 2 2 2 2 2 4 3 3 2 2" xfId="4629"/>
    <cellStyle name="Обычный 2 2 2 2 2 4 3 3 2 2 2" xfId="4630"/>
    <cellStyle name="Обычный 2 2 2 2 2 4 3 3 2 2 3" xfId="4631"/>
    <cellStyle name="Обычный 2 2 2 2 2 4 3 3 2 3" xfId="4632"/>
    <cellStyle name="Обычный 2 2 2 2 2 4 3 3 2 4" xfId="4633"/>
    <cellStyle name="Обычный 2 2 2 2 2 4 3 3 3" xfId="4634"/>
    <cellStyle name="Обычный 2 2 2 2 2 4 3 3 3 2" xfId="4635"/>
    <cellStyle name="Обычный 2 2 2 2 2 4 3 3 3 3" xfId="4636"/>
    <cellStyle name="Обычный 2 2 2 2 2 4 3 3 4" xfId="4637"/>
    <cellStyle name="Обычный 2 2 2 2 2 4 3 3 5" xfId="4638"/>
    <cellStyle name="Обычный 2 2 2 2 2 4 3 4" xfId="4639"/>
    <cellStyle name="Обычный 2 2 2 2 2 4 3 4 2" xfId="4640"/>
    <cellStyle name="Обычный 2 2 2 2 2 4 3 4 2 2" xfId="4641"/>
    <cellStyle name="Обычный 2 2 2 2 2 4 3 4 2 2 2" xfId="4642"/>
    <cellStyle name="Обычный 2 2 2 2 2 4 3 4 2 2 3" xfId="4643"/>
    <cellStyle name="Обычный 2 2 2 2 2 4 3 4 2 3" xfId="4644"/>
    <cellStyle name="Обычный 2 2 2 2 2 4 3 4 2 4" xfId="4645"/>
    <cellStyle name="Обычный 2 2 2 2 2 4 3 4 3" xfId="4646"/>
    <cellStyle name="Обычный 2 2 2 2 2 4 3 4 3 2" xfId="4647"/>
    <cellStyle name="Обычный 2 2 2 2 2 4 3 4 3 3" xfId="4648"/>
    <cellStyle name="Обычный 2 2 2 2 2 4 3 4 4" xfId="4649"/>
    <cellStyle name="Обычный 2 2 2 2 2 4 3 4 5" xfId="4650"/>
    <cellStyle name="Обычный 2 2 2 2 2 4 3 5" xfId="4651"/>
    <cellStyle name="Обычный 2 2 2 2 2 4 3 5 2" xfId="4652"/>
    <cellStyle name="Обычный 2 2 2 2 2 4 3 5 2 2" xfId="4653"/>
    <cellStyle name="Обычный 2 2 2 2 2 4 3 5 2 2 2" xfId="4654"/>
    <cellStyle name="Обычный 2 2 2 2 2 4 3 5 2 2 3" xfId="4655"/>
    <cellStyle name="Обычный 2 2 2 2 2 4 3 5 2 3" xfId="4656"/>
    <cellStyle name="Обычный 2 2 2 2 2 4 3 5 2 4" xfId="4657"/>
    <cellStyle name="Обычный 2 2 2 2 2 4 3 5 3" xfId="4658"/>
    <cellStyle name="Обычный 2 2 2 2 2 4 3 5 3 2" xfId="4659"/>
    <cellStyle name="Обычный 2 2 2 2 2 4 3 5 3 3" xfId="4660"/>
    <cellStyle name="Обычный 2 2 2 2 2 4 3 5 4" xfId="4661"/>
    <cellStyle name="Обычный 2 2 2 2 2 4 3 5 5" xfId="4662"/>
    <cellStyle name="Обычный 2 2 2 2 2 4 3 6" xfId="4663"/>
    <cellStyle name="Обычный 2 2 2 2 2 4 3 6 2" xfId="4664"/>
    <cellStyle name="Обычный 2 2 2 2 2 4 3 6 2 2" xfId="4665"/>
    <cellStyle name="Обычный 2 2 2 2 2 4 3 6 2 2 2" xfId="4666"/>
    <cellStyle name="Обычный 2 2 2 2 2 4 3 6 2 2 3" xfId="4667"/>
    <cellStyle name="Обычный 2 2 2 2 2 4 3 6 2 3" xfId="4668"/>
    <cellStyle name="Обычный 2 2 2 2 2 4 3 6 2 4" xfId="4669"/>
    <cellStyle name="Обычный 2 2 2 2 2 4 3 6 3" xfId="4670"/>
    <cellStyle name="Обычный 2 2 2 2 2 4 3 6 3 2" xfId="4671"/>
    <cellStyle name="Обычный 2 2 2 2 2 4 3 6 3 3" xfId="4672"/>
    <cellStyle name="Обычный 2 2 2 2 2 4 3 6 4" xfId="4673"/>
    <cellStyle name="Обычный 2 2 2 2 2 4 3 6 5" xfId="4674"/>
    <cellStyle name="Обычный 2 2 2 2 2 4 3 7" xfId="4675"/>
    <cellStyle name="Обычный 2 2 2 2 2 4 3 7 2" xfId="4676"/>
    <cellStyle name="Обычный 2 2 2 2 2 4 3 7 2 2" xfId="4677"/>
    <cellStyle name="Обычный 2 2 2 2 2 4 3 7 2 3" xfId="4678"/>
    <cellStyle name="Обычный 2 2 2 2 2 4 3 7 3" xfId="4679"/>
    <cellStyle name="Обычный 2 2 2 2 2 4 3 7 4" xfId="4680"/>
    <cellStyle name="Обычный 2 2 2 2 2 4 3 8" xfId="4681"/>
    <cellStyle name="Обычный 2 2 2 2 2 4 3 8 2" xfId="4682"/>
    <cellStyle name="Обычный 2 2 2 2 2 4 3 8 3" xfId="4683"/>
    <cellStyle name="Обычный 2 2 2 2 2 4 3 9" xfId="4684"/>
    <cellStyle name="Обычный 2 2 2 2 2 4 3_Расчет  30 млн_Технополис  Коренькова" xfId="4685"/>
    <cellStyle name="Обычный 2 2 2 2 2 4 4" xfId="4686"/>
    <cellStyle name="Обычный 2 2 2 2 2 4 4 10" xfId="4687"/>
    <cellStyle name="Обычный 2 2 2 2 2 4 4 2" xfId="4688"/>
    <cellStyle name="Обычный 2 2 2 2 2 4 4 2 2" xfId="4689"/>
    <cellStyle name="Обычный 2 2 2 2 2 4 4 2 2 2" xfId="4690"/>
    <cellStyle name="Обычный 2 2 2 2 2 4 4 2 2 2 2" xfId="4691"/>
    <cellStyle name="Обычный 2 2 2 2 2 4 4 2 2 2 3" xfId="4692"/>
    <cellStyle name="Обычный 2 2 2 2 2 4 4 2 2 3" xfId="4693"/>
    <cellStyle name="Обычный 2 2 2 2 2 4 4 2 2 4" xfId="4694"/>
    <cellStyle name="Обычный 2 2 2 2 2 4 4 2 3" xfId="4695"/>
    <cellStyle name="Обычный 2 2 2 2 2 4 4 2 3 2" xfId="4696"/>
    <cellStyle name="Обычный 2 2 2 2 2 4 4 2 3 3" xfId="4697"/>
    <cellStyle name="Обычный 2 2 2 2 2 4 4 2 4" xfId="4698"/>
    <cellStyle name="Обычный 2 2 2 2 2 4 4 2 5" xfId="4699"/>
    <cellStyle name="Обычный 2 2 2 2 2 4 4 3" xfId="4700"/>
    <cellStyle name="Обычный 2 2 2 2 2 4 4 3 2" xfId="4701"/>
    <cellStyle name="Обычный 2 2 2 2 2 4 4 3 2 2" xfId="4702"/>
    <cellStyle name="Обычный 2 2 2 2 2 4 4 3 2 2 2" xfId="4703"/>
    <cellStyle name="Обычный 2 2 2 2 2 4 4 3 2 2 3" xfId="4704"/>
    <cellStyle name="Обычный 2 2 2 2 2 4 4 3 2 3" xfId="4705"/>
    <cellStyle name="Обычный 2 2 2 2 2 4 4 3 2 4" xfId="4706"/>
    <cellStyle name="Обычный 2 2 2 2 2 4 4 3 3" xfId="4707"/>
    <cellStyle name="Обычный 2 2 2 2 2 4 4 3 3 2" xfId="4708"/>
    <cellStyle name="Обычный 2 2 2 2 2 4 4 3 3 3" xfId="4709"/>
    <cellStyle name="Обычный 2 2 2 2 2 4 4 3 4" xfId="4710"/>
    <cellStyle name="Обычный 2 2 2 2 2 4 4 3 5" xfId="4711"/>
    <cellStyle name="Обычный 2 2 2 2 2 4 4 4" xfId="4712"/>
    <cellStyle name="Обычный 2 2 2 2 2 4 4 4 2" xfId="4713"/>
    <cellStyle name="Обычный 2 2 2 2 2 4 4 4 2 2" xfId="4714"/>
    <cellStyle name="Обычный 2 2 2 2 2 4 4 4 2 2 2" xfId="4715"/>
    <cellStyle name="Обычный 2 2 2 2 2 4 4 4 2 2 3" xfId="4716"/>
    <cellStyle name="Обычный 2 2 2 2 2 4 4 4 2 3" xfId="4717"/>
    <cellStyle name="Обычный 2 2 2 2 2 4 4 4 2 4" xfId="4718"/>
    <cellStyle name="Обычный 2 2 2 2 2 4 4 4 3" xfId="4719"/>
    <cellStyle name="Обычный 2 2 2 2 2 4 4 4 3 2" xfId="4720"/>
    <cellStyle name="Обычный 2 2 2 2 2 4 4 4 3 3" xfId="4721"/>
    <cellStyle name="Обычный 2 2 2 2 2 4 4 4 4" xfId="4722"/>
    <cellStyle name="Обычный 2 2 2 2 2 4 4 4 5" xfId="4723"/>
    <cellStyle name="Обычный 2 2 2 2 2 4 4 5" xfId="4724"/>
    <cellStyle name="Обычный 2 2 2 2 2 4 4 5 2" xfId="4725"/>
    <cellStyle name="Обычный 2 2 2 2 2 4 4 5 2 2" xfId="4726"/>
    <cellStyle name="Обычный 2 2 2 2 2 4 4 5 2 2 2" xfId="4727"/>
    <cellStyle name="Обычный 2 2 2 2 2 4 4 5 2 2 3" xfId="4728"/>
    <cellStyle name="Обычный 2 2 2 2 2 4 4 5 2 3" xfId="4729"/>
    <cellStyle name="Обычный 2 2 2 2 2 4 4 5 2 4" xfId="4730"/>
    <cellStyle name="Обычный 2 2 2 2 2 4 4 5 3" xfId="4731"/>
    <cellStyle name="Обычный 2 2 2 2 2 4 4 5 3 2" xfId="4732"/>
    <cellStyle name="Обычный 2 2 2 2 2 4 4 5 3 3" xfId="4733"/>
    <cellStyle name="Обычный 2 2 2 2 2 4 4 5 4" xfId="4734"/>
    <cellStyle name="Обычный 2 2 2 2 2 4 4 5 5" xfId="4735"/>
    <cellStyle name="Обычный 2 2 2 2 2 4 4 6" xfId="4736"/>
    <cellStyle name="Обычный 2 2 2 2 2 4 4 6 2" xfId="4737"/>
    <cellStyle name="Обычный 2 2 2 2 2 4 4 6 2 2" xfId="4738"/>
    <cellStyle name="Обычный 2 2 2 2 2 4 4 6 2 2 2" xfId="4739"/>
    <cellStyle name="Обычный 2 2 2 2 2 4 4 6 2 2 3" xfId="4740"/>
    <cellStyle name="Обычный 2 2 2 2 2 4 4 6 2 3" xfId="4741"/>
    <cellStyle name="Обычный 2 2 2 2 2 4 4 6 2 4" xfId="4742"/>
    <cellStyle name="Обычный 2 2 2 2 2 4 4 6 3" xfId="4743"/>
    <cellStyle name="Обычный 2 2 2 2 2 4 4 6 3 2" xfId="4744"/>
    <cellStyle name="Обычный 2 2 2 2 2 4 4 6 3 3" xfId="4745"/>
    <cellStyle name="Обычный 2 2 2 2 2 4 4 6 4" xfId="4746"/>
    <cellStyle name="Обычный 2 2 2 2 2 4 4 6 5" xfId="4747"/>
    <cellStyle name="Обычный 2 2 2 2 2 4 4 7" xfId="4748"/>
    <cellStyle name="Обычный 2 2 2 2 2 4 4 7 2" xfId="4749"/>
    <cellStyle name="Обычный 2 2 2 2 2 4 4 7 2 2" xfId="4750"/>
    <cellStyle name="Обычный 2 2 2 2 2 4 4 7 2 3" xfId="4751"/>
    <cellStyle name="Обычный 2 2 2 2 2 4 4 7 3" xfId="4752"/>
    <cellStyle name="Обычный 2 2 2 2 2 4 4 7 4" xfId="4753"/>
    <cellStyle name="Обычный 2 2 2 2 2 4 4 8" xfId="4754"/>
    <cellStyle name="Обычный 2 2 2 2 2 4 4 8 2" xfId="4755"/>
    <cellStyle name="Обычный 2 2 2 2 2 4 4 8 3" xfId="4756"/>
    <cellStyle name="Обычный 2 2 2 2 2 4 4 9" xfId="4757"/>
    <cellStyle name="Обычный 2 2 2 2 2 4 4_Расчет  30 млн_Технополис  Коренькова" xfId="4758"/>
    <cellStyle name="Обычный 2 2 2 2 2 4 5" xfId="4759"/>
    <cellStyle name="Обычный 2 2 2 2 2 4 5 2" xfId="4760"/>
    <cellStyle name="Обычный 2 2 2 2 2 4 5 2 2" xfId="4761"/>
    <cellStyle name="Обычный 2 2 2 2 2 4 5 2 2 2" xfId="4762"/>
    <cellStyle name="Обычный 2 2 2 2 2 4 5 2 2 3" xfId="4763"/>
    <cellStyle name="Обычный 2 2 2 2 2 4 5 2 3" xfId="4764"/>
    <cellStyle name="Обычный 2 2 2 2 2 4 5 2 4" xfId="4765"/>
    <cellStyle name="Обычный 2 2 2 2 2 4 5 3" xfId="4766"/>
    <cellStyle name="Обычный 2 2 2 2 2 4 5 3 2" xfId="4767"/>
    <cellStyle name="Обычный 2 2 2 2 2 4 5 3 3" xfId="4768"/>
    <cellStyle name="Обычный 2 2 2 2 2 4 5 4" xfId="4769"/>
    <cellStyle name="Обычный 2 2 2 2 2 4 5 5" xfId="4770"/>
    <cellStyle name="Обычный 2 2 2 2 2 4 6" xfId="4771"/>
    <cellStyle name="Обычный 2 2 2 2 2 4 6 2" xfId="4772"/>
    <cellStyle name="Обычный 2 2 2 2 2 4 6 2 2" xfId="4773"/>
    <cellStyle name="Обычный 2 2 2 2 2 4 6 2 2 2" xfId="4774"/>
    <cellStyle name="Обычный 2 2 2 2 2 4 6 2 2 3" xfId="4775"/>
    <cellStyle name="Обычный 2 2 2 2 2 4 6 2 3" xfId="4776"/>
    <cellStyle name="Обычный 2 2 2 2 2 4 6 2 4" xfId="4777"/>
    <cellStyle name="Обычный 2 2 2 2 2 4 6 3" xfId="4778"/>
    <cellStyle name="Обычный 2 2 2 2 2 4 6 3 2" xfId="4779"/>
    <cellStyle name="Обычный 2 2 2 2 2 4 6 3 3" xfId="4780"/>
    <cellStyle name="Обычный 2 2 2 2 2 4 6 4" xfId="4781"/>
    <cellStyle name="Обычный 2 2 2 2 2 4 6 5" xfId="4782"/>
    <cellStyle name="Обычный 2 2 2 2 2 4 7" xfId="4783"/>
    <cellStyle name="Обычный 2 2 2 2 2 4 7 2" xfId="4784"/>
    <cellStyle name="Обычный 2 2 2 2 2 4 7 2 2" xfId="4785"/>
    <cellStyle name="Обычный 2 2 2 2 2 4 7 2 2 2" xfId="4786"/>
    <cellStyle name="Обычный 2 2 2 2 2 4 7 2 2 3" xfId="4787"/>
    <cellStyle name="Обычный 2 2 2 2 2 4 7 2 3" xfId="4788"/>
    <cellStyle name="Обычный 2 2 2 2 2 4 7 2 4" xfId="4789"/>
    <cellStyle name="Обычный 2 2 2 2 2 4 7 3" xfId="4790"/>
    <cellStyle name="Обычный 2 2 2 2 2 4 7 3 2" xfId="4791"/>
    <cellStyle name="Обычный 2 2 2 2 2 4 7 3 3" xfId="4792"/>
    <cellStyle name="Обычный 2 2 2 2 2 4 7 4" xfId="4793"/>
    <cellStyle name="Обычный 2 2 2 2 2 4 7 5" xfId="4794"/>
    <cellStyle name="Обычный 2 2 2 2 2 4 8" xfId="4795"/>
    <cellStyle name="Обычный 2 2 2 2 2 4 8 2" xfId="4796"/>
    <cellStyle name="Обычный 2 2 2 2 2 4 8 2 2" xfId="4797"/>
    <cellStyle name="Обычный 2 2 2 2 2 4 8 2 2 2" xfId="4798"/>
    <cellStyle name="Обычный 2 2 2 2 2 4 8 2 2 3" xfId="4799"/>
    <cellStyle name="Обычный 2 2 2 2 2 4 8 2 3" xfId="4800"/>
    <cellStyle name="Обычный 2 2 2 2 2 4 8 2 4" xfId="4801"/>
    <cellStyle name="Обычный 2 2 2 2 2 4 8 3" xfId="4802"/>
    <cellStyle name="Обычный 2 2 2 2 2 4 8 3 2" xfId="4803"/>
    <cellStyle name="Обычный 2 2 2 2 2 4 8 3 3" xfId="4804"/>
    <cellStyle name="Обычный 2 2 2 2 2 4 8 4" xfId="4805"/>
    <cellStyle name="Обычный 2 2 2 2 2 4 8 5" xfId="4806"/>
    <cellStyle name="Обычный 2 2 2 2 2 4 9" xfId="4807"/>
    <cellStyle name="Обычный 2 2 2 2 2 4 9 2" xfId="4808"/>
    <cellStyle name="Обычный 2 2 2 2 2 4 9 2 2" xfId="4809"/>
    <cellStyle name="Обычный 2 2 2 2 2 4 9 2 2 2" xfId="4810"/>
    <cellStyle name="Обычный 2 2 2 2 2 4 9 2 2 3" xfId="4811"/>
    <cellStyle name="Обычный 2 2 2 2 2 4 9 2 3" xfId="4812"/>
    <cellStyle name="Обычный 2 2 2 2 2 4 9 2 4" xfId="4813"/>
    <cellStyle name="Обычный 2 2 2 2 2 4 9 3" xfId="4814"/>
    <cellStyle name="Обычный 2 2 2 2 2 4 9 3 2" xfId="4815"/>
    <cellStyle name="Обычный 2 2 2 2 2 4 9 3 3" xfId="4816"/>
    <cellStyle name="Обычный 2 2 2 2 2 4 9 4" xfId="4817"/>
    <cellStyle name="Обычный 2 2 2 2 2 4 9 5" xfId="4818"/>
    <cellStyle name="Обычный 2 2 2 2 2 4_1 ВАР. КП 1 293  +8пропорцЛара" xfId="4819"/>
    <cellStyle name="Обычный 2 2 2 2 2 5" xfId="4820"/>
    <cellStyle name="Обычный 2 2 2 2 2 5 10" xfId="4821"/>
    <cellStyle name="Обычный 2 2 2 2 2 5 10 2" xfId="4822"/>
    <cellStyle name="Обычный 2 2 2 2 2 5 10 2 2" xfId="4823"/>
    <cellStyle name="Обычный 2 2 2 2 2 5 10 2 3" xfId="4824"/>
    <cellStyle name="Обычный 2 2 2 2 2 5 10 3" xfId="4825"/>
    <cellStyle name="Обычный 2 2 2 2 2 5 10 4" xfId="4826"/>
    <cellStyle name="Обычный 2 2 2 2 2 5 11" xfId="4827"/>
    <cellStyle name="Обычный 2 2 2 2 2 5 11 2" xfId="4828"/>
    <cellStyle name="Обычный 2 2 2 2 2 5 11 3" xfId="4829"/>
    <cellStyle name="Обычный 2 2 2 2 2 5 12" xfId="4830"/>
    <cellStyle name="Обычный 2 2 2 2 2 5 13" xfId="4831"/>
    <cellStyle name="Обычный 2 2 2 2 2 5 2" xfId="4832"/>
    <cellStyle name="Обычный 2 2 2 2 2 5 2 10" xfId="4833"/>
    <cellStyle name="Обычный 2 2 2 2 2 5 2 2" xfId="4834"/>
    <cellStyle name="Обычный 2 2 2 2 2 5 2 2 2" xfId="4835"/>
    <cellStyle name="Обычный 2 2 2 2 2 5 2 2 2 2" xfId="4836"/>
    <cellStyle name="Обычный 2 2 2 2 2 5 2 2 2 2 2" xfId="4837"/>
    <cellStyle name="Обычный 2 2 2 2 2 5 2 2 2 2 3" xfId="4838"/>
    <cellStyle name="Обычный 2 2 2 2 2 5 2 2 2 3" xfId="4839"/>
    <cellStyle name="Обычный 2 2 2 2 2 5 2 2 2 4" xfId="4840"/>
    <cellStyle name="Обычный 2 2 2 2 2 5 2 2 3" xfId="4841"/>
    <cellStyle name="Обычный 2 2 2 2 2 5 2 2 3 2" xfId="4842"/>
    <cellStyle name="Обычный 2 2 2 2 2 5 2 2 3 3" xfId="4843"/>
    <cellStyle name="Обычный 2 2 2 2 2 5 2 2 4" xfId="4844"/>
    <cellStyle name="Обычный 2 2 2 2 2 5 2 2 5" xfId="4845"/>
    <cellStyle name="Обычный 2 2 2 2 2 5 2 3" xfId="4846"/>
    <cellStyle name="Обычный 2 2 2 2 2 5 2 3 2" xfId="4847"/>
    <cellStyle name="Обычный 2 2 2 2 2 5 2 3 2 2" xfId="4848"/>
    <cellStyle name="Обычный 2 2 2 2 2 5 2 3 2 2 2" xfId="4849"/>
    <cellStyle name="Обычный 2 2 2 2 2 5 2 3 2 2 3" xfId="4850"/>
    <cellStyle name="Обычный 2 2 2 2 2 5 2 3 2 3" xfId="4851"/>
    <cellStyle name="Обычный 2 2 2 2 2 5 2 3 2 4" xfId="4852"/>
    <cellStyle name="Обычный 2 2 2 2 2 5 2 3 3" xfId="4853"/>
    <cellStyle name="Обычный 2 2 2 2 2 5 2 3 3 2" xfId="4854"/>
    <cellStyle name="Обычный 2 2 2 2 2 5 2 3 3 3" xfId="4855"/>
    <cellStyle name="Обычный 2 2 2 2 2 5 2 3 4" xfId="4856"/>
    <cellStyle name="Обычный 2 2 2 2 2 5 2 3 5" xfId="4857"/>
    <cellStyle name="Обычный 2 2 2 2 2 5 2 4" xfId="4858"/>
    <cellStyle name="Обычный 2 2 2 2 2 5 2 4 2" xfId="4859"/>
    <cellStyle name="Обычный 2 2 2 2 2 5 2 4 2 2" xfId="4860"/>
    <cellStyle name="Обычный 2 2 2 2 2 5 2 4 2 2 2" xfId="4861"/>
    <cellStyle name="Обычный 2 2 2 2 2 5 2 4 2 2 3" xfId="4862"/>
    <cellStyle name="Обычный 2 2 2 2 2 5 2 4 2 3" xfId="4863"/>
    <cellStyle name="Обычный 2 2 2 2 2 5 2 4 2 4" xfId="4864"/>
    <cellStyle name="Обычный 2 2 2 2 2 5 2 4 3" xfId="4865"/>
    <cellStyle name="Обычный 2 2 2 2 2 5 2 4 3 2" xfId="4866"/>
    <cellStyle name="Обычный 2 2 2 2 2 5 2 4 3 3" xfId="4867"/>
    <cellStyle name="Обычный 2 2 2 2 2 5 2 4 4" xfId="4868"/>
    <cellStyle name="Обычный 2 2 2 2 2 5 2 4 5" xfId="4869"/>
    <cellStyle name="Обычный 2 2 2 2 2 5 2 5" xfId="4870"/>
    <cellStyle name="Обычный 2 2 2 2 2 5 2 5 2" xfId="4871"/>
    <cellStyle name="Обычный 2 2 2 2 2 5 2 5 2 2" xfId="4872"/>
    <cellStyle name="Обычный 2 2 2 2 2 5 2 5 2 2 2" xfId="4873"/>
    <cellStyle name="Обычный 2 2 2 2 2 5 2 5 2 2 3" xfId="4874"/>
    <cellStyle name="Обычный 2 2 2 2 2 5 2 5 2 3" xfId="4875"/>
    <cellStyle name="Обычный 2 2 2 2 2 5 2 5 2 4" xfId="4876"/>
    <cellStyle name="Обычный 2 2 2 2 2 5 2 5 3" xfId="4877"/>
    <cellStyle name="Обычный 2 2 2 2 2 5 2 5 3 2" xfId="4878"/>
    <cellStyle name="Обычный 2 2 2 2 2 5 2 5 3 3" xfId="4879"/>
    <cellStyle name="Обычный 2 2 2 2 2 5 2 5 4" xfId="4880"/>
    <cellStyle name="Обычный 2 2 2 2 2 5 2 5 5" xfId="4881"/>
    <cellStyle name="Обычный 2 2 2 2 2 5 2 6" xfId="4882"/>
    <cellStyle name="Обычный 2 2 2 2 2 5 2 6 2" xfId="4883"/>
    <cellStyle name="Обычный 2 2 2 2 2 5 2 6 2 2" xfId="4884"/>
    <cellStyle name="Обычный 2 2 2 2 2 5 2 6 2 2 2" xfId="4885"/>
    <cellStyle name="Обычный 2 2 2 2 2 5 2 6 2 2 3" xfId="4886"/>
    <cellStyle name="Обычный 2 2 2 2 2 5 2 6 2 3" xfId="4887"/>
    <cellStyle name="Обычный 2 2 2 2 2 5 2 6 2 4" xfId="4888"/>
    <cellStyle name="Обычный 2 2 2 2 2 5 2 6 3" xfId="4889"/>
    <cellStyle name="Обычный 2 2 2 2 2 5 2 6 3 2" xfId="4890"/>
    <cellStyle name="Обычный 2 2 2 2 2 5 2 6 3 3" xfId="4891"/>
    <cellStyle name="Обычный 2 2 2 2 2 5 2 6 4" xfId="4892"/>
    <cellStyle name="Обычный 2 2 2 2 2 5 2 6 5" xfId="4893"/>
    <cellStyle name="Обычный 2 2 2 2 2 5 2 7" xfId="4894"/>
    <cellStyle name="Обычный 2 2 2 2 2 5 2 7 2" xfId="4895"/>
    <cellStyle name="Обычный 2 2 2 2 2 5 2 7 2 2" xfId="4896"/>
    <cellStyle name="Обычный 2 2 2 2 2 5 2 7 2 3" xfId="4897"/>
    <cellStyle name="Обычный 2 2 2 2 2 5 2 7 3" xfId="4898"/>
    <cellStyle name="Обычный 2 2 2 2 2 5 2 7 4" xfId="4899"/>
    <cellStyle name="Обычный 2 2 2 2 2 5 2 8" xfId="4900"/>
    <cellStyle name="Обычный 2 2 2 2 2 5 2 8 2" xfId="4901"/>
    <cellStyle name="Обычный 2 2 2 2 2 5 2 8 3" xfId="4902"/>
    <cellStyle name="Обычный 2 2 2 2 2 5 2 9" xfId="4903"/>
    <cellStyle name="Обычный 2 2 2 2 2 5 2_Расчет  30 млн_Технополис  Коренькова" xfId="4904"/>
    <cellStyle name="Обычный 2 2 2 2 2 5 3" xfId="4905"/>
    <cellStyle name="Обычный 2 2 2 2 2 5 3 10" xfId="4906"/>
    <cellStyle name="Обычный 2 2 2 2 2 5 3 2" xfId="4907"/>
    <cellStyle name="Обычный 2 2 2 2 2 5 3 2 2" xfId="4908"/>
    <cellStyle name="Обычный 2 2 2 2 2 5 3 2 2 2" xfId="4909"/>
    <cellStyle name="Обычный 2 2 2 2 2 5 3 2 2 2 2" xfId="4910"/>
    <cellStyle name="Обычный 2 2 2 2 2 5 3 2 2 2 3" xfId="4911"/>
    <cellStyle name="Обычный 2 2 2 2 2 5 3 2 2 3" xfId="4912"/>
    <cellStyle name="Обычный 2 2 2 2 2 5 3 2 2 4" xfId="4913"/>
    <cellStyle name="Обычный 2 2 2 2 2 5 3 2 3" xfId="4914"/>
    <cellStyle name="Обычный 2 2 2 2 2 5 3 2 3 2" xfId="4915"/>
    <cellStyle name="Обычный 2 2 2 2 2 5 3 2 3 3" xfId="4916"/>
    <cellStyle name="Обычный 2 2 2 2 2 5 3 2 4" xfId="4917"/>
    <cellStyle name="Обычный 2 2 2 2 2 5 3 2 5" xfId="4918"/>
    <cellStyle name="Обычный 2 2 2 2 2 5 3 3" xfId="4919"/>
    <cellStyle name="Обычный 2 2 2 2 2 5 3 3 2" xfId="4920"/>
    <cellStyle name="Обычный 2 2 2 2 2 5 3 3 2 2" xfId="4921"/>
    <cellStyle name="Обычный 2 2 2 2 2 5 3 3 2 2 2" xfId="4922"/>
    <cellStyle name="Обычный 2 2 2 2 2 5 3 3 2 2 3" xfId="4923"/>
    <cellStyle name="Обычный 2 2 2 2 2 5 3 3 2 3" xfId="4924"/>
    <cellStyle name="Обычный 2 2 2 2 2 5 3 3 2 4" xfId="4925"/>
    <cellStyle name="Обычный 2 2 2 2 2 5 3 3 3" xfId="4926"/>
    <cellStyle name="Обычный 2 2 2 2 2 5 3 3 3 2" xfId="4927"/>
    <cellStyle name="Обычный 2 2 2 2 2 5 3 3 3 3" xfId="4928"/>
    <cellStyle name="Обычный 2 2 2 2 2 5 3 3 4" xfId="4929"/>
    <cellStyle name="Обычный 2 2 2 2 2 5 3 3 5" xfId="4930"/>
    <cellStyle name="Обычный 2 2 2 2 2 5 3 4" xfId="4931"/>
    <cellStyle name="Обычный 2 2 2 2 2 5 3 4 2" xfId="4932"/>
    <cellStyle name="Обычный 2 2 2 2 2 5 3 4 2 2" xfId="4933"/>
    <cellStyle name="Обычный 2 2 2 2 2 5 3 4 2 2 2" xfId="4934"/>
    <cellStyle name="Обычный 2 2 2 2 2 5 3 4 2 2 3" xfId="4935"/>
    <cellStyle name="Обычный 2 2 2 2 2 5 3 4 2 3" xfId="4936"/>
    <cellStyle name="Обычный 2 2 2 2 2 5 3 4 2 4" xfId="4937"/>
    <cellStyle name="Обычный 2 2 2 2 2 5 3 4 3" xfId="4938"/>
    <cellStyle name="Обычный 2 2 2 2 2 5 3 4 3 2" xfId="4939"/>
    <cellStyle name="Обычный 2 2 2 2 2 5 3 4 3 3" xfId="4940"/>
    <cellStyle name="Обычный 2 2 2 2 2 5 3 4 4" xfId="4941"/>
    <cellStyle name="Обычный 2 2 2 2 2 5 3 4 5" xfId="4942"/>
    <cellStyle name="Обычный 2 2 2 2 2 5 3 5" xfId="4943"/>
    <cellStyle name="Обычный 2 2 2 2 2 5 3 5 2" xfId="4944"/>
    <cellStyle name="Обычный 2 2 2 2 2 5 3 5 2 2" xfId="4945"/>
    <cellStyle name="Обычный 2 2 2 2 2 5 3 5 2 2 2" xfId="4946"/>
    <cellStyle name="Обычный 2 2 2 2 2 5 3 5 2 2 3" xfId="4947"/>
    <cellStyle name="Обычный 2 2 2 2 2 5 3 5 2 3" xfId="4948"/>
    <cellStyle name="Обычный 2 2 2 2 2 5 3 5 2 4" xfId="4949"/>
    <cellStyle name="Обычный 2 2 2 2 2 5 3 5 3" xfId="4950"/>
    <cellStyle name="Обычный 2 2 2 2 2 5 3 5 3 2" xfId="4951"/>
    <cellStyle name="Обычный 2 2 2 2 2 5 3 5 3 3" xfId="4952"/>
    <cellStyle name="Обычный 2 2 2 2 2 5 3 5 4" xfId="4953"/>
    <cellStyle name="Обычный 2 2 2 2 2 5 3 5 5" xfId="4954"/>
    <cellStyle name="Обычный 2 2 2 2 2 5 3 6" xfId="4955"/>
    <cellStyle name="Обычный 2 2 2 2 2 5 3 6 2" xfId="4956"/>
    <cellStyle name="Обычный 2 2 2 2 2 5 3 6 2 2" xfId="4957"/>
    <cellStyle name="Обычный 2 2 2 2 2 5 3 6 2 2 2" xfId="4958"/>
    <cellStyle name="Обычный 2 2 2 2 2 5 3 6 2 2 3" xfId="4959"/>
    <cellStyle name="Обычный 2 2 2 2 2 5 3 6 2 3" xfId="4960"/>
    <cellStyle name="Обычный 2 2 2 2 2 5 3 6 2 4" xfId="4961"/>
    <cellStyle name="Обычный 2 2 2 2 2 5 3 6 3" xfId="4962"/>
    <cellStyle name="Обычный 2 2 2 2 2 5 3 6 3 2" xfId="4963"/>
    <cellStyle name="Обычный 2 2 2 2 2 5 3 6 3 3" xfId="4964"/>
    <cellStyle name="Обычный 2 2 2 2 2 5 3 6 4" xfId="4965"/>
    <cellStyle name="Обычный 2 2 2 2 2 5 3 6 5" xfId="4966"/>
    <cellStyle name="Обычный 2 2 2 2 2 5 3 7" xfId="4967"/>
    <cellStyle name="Обычный 2 2 2 2 2 5 3 7 2" xfId="4968"/>
    <cellStyle name="Обычный 2 2 2 2 2 5 3 7 2 2" xfId="4969"/>
    <cellStyle name="Обычный 2 2 2 2 2 5 3 7 2 3" xfId="4970"/>
    <cellStyle name="Обычный 2 2 2 2 2 5 3 7 3" xfId="4971"/>
    <cellStyle name="Обычный 2 2 2 2 2 5 3 7 4" xfId="4972"/>
    <cellStyle name="Обычный 2 2 2 2 2 5 3 8" xfId="4973"/>
    <cellStyle name="Обычный 2 2 2 2 2 5 3 8 2" xfId="4974"/>
    <cellStyle name="Обычный 2 2 2 2 2 5 3 8 3" xfId="4975"/>
    <cellStyle name="Обычный 2 2 2 2 2 5 3 9" xfId="4976"/>
    <cellStyle name="Обычный 2 2 2 2 2 5 3_Расчет  30 млн_Технополис  Коренькова" xfId="4977"/>
    <cellStyle name="Обычный 2 2 2 2 2 5 4" xfId="4978"/>
    <cellStyle name="Обычный 2 2 2 2 2 5 4 10" xfId="4979"/>
    <cellStyle name="Обычный 2 2 2 2 2 5 4 2" xfId="4980"/>
    <cellStyle name="Обычный 2 2 2 2 2 5 4 2 2" xfId="4981"/>
    <cellStyle name="Обычный 2 2 2 2 2 5 4 2 2 2" xfId="4982"/>
    <cellStyle name="Обычный 2 2 2 2 2 5 4 2 2 2 2" xfId="4983"/>
    <cellStyle name="Обычный 2 2 2 2 2 5 4 2 2 2 3" xfId="4984"/>
    <cellStyle name="Обычный 2 2 2 2 2 5 4 2 2 3" xfId="4985"/>
    <cellStyle name="Обычный 2 2 2 2 2 5 4 2 2 4" xfId="4986"/>
    <cellStyle name="Обычный 2 2 2 2 2 5 4 2 3" xfId="4987"/>
    <cellStyle name="Обычный 2 2 2 2 2 5 4 2 3 2" xfId="4988"/>
    <cellStyle name="Обычный 2 2 2 2 2 5 4 2 3 3" xfId="4989"/>
    <cellStyle name="Обычный 2 2 2 2 2 5 4 2 4" xfId="4990"/>
    <cellStyle name="Обычный 2 2 2 2 2 5 4 2 5" xfId="4991"/>
    <cellStyle name="Обычный 2 2 2 2 2 5 4 3" xfId="4992"/>
    <cellStyle name="Обычный 2 2 2 2 2 5 4 3 2" xfId="4993"/>
    <cellStyle name="Обычный 2 2 2 2 2 5 4 3 2 2" xfId="4994"/>
    <cellStyle name="Обычный 2 2 2 2 2 5 4 3 2 2 2" xfId="4995"/>
    <cellStyle name="Обычный 2 2 2 2 2 5 4 3 2 2 3" xfId="4996"/>
    <cellStyle name="Обычный 2 2 2 2 2 5 4 3 2 3" xfId="4997"/>
    <cellStyle name="Обычный 2 2 2 2 2 5 4 3 2 4" xfId="4998"/>
    <cellStyle name="Обычный 2 2 2 2 2 5 4 3 3" xfId="4999"/>
    <cellStyle name="Обычный 2 2 2 2 2 5 4 3 3 2" xfId="5000"/>
    <cellStyle name="Обычный 2 2 2 2 2 5 4 3 3 3" xfId="5001"/>
    <cellStyle name="Обычный 2 2 2 2 2 5 4 3 4" xfId="5002"/>
    <cellStyle name="Обычный 2 2 2 2 2 5 4 3 5" xfId="5003"/>
    <cellStyle name="Обычный 2 2 2 2 2 5 4 4" xfId="5004"/>
    <cellStyle name="Обычный 2 2 2 2 2 5 4 4 2" xfId="5005"/>
    <cellStyle name="Обычный 2 2 2 2 2 5 4 4 2 2" xfId="5006"/>
    <cellStyle name="Обычный 2 2 2 2 2 5 4 4 2 2 2" xfId="5007"/>
    <cellStyle name="Обычный 2 2 2 2 2 5 4 4 2 2 3" xfId="5008"/>
    <cellStyle name="Обычный 2 2 2 2 2 5 4 4 2 3" xfId="5009"/>
    <cellStyle name="Обычный 2 2 2 2 2 5 4 4 2 4" xfId="5010"/>
    <cellStyle name="Обычный 2 2 2 2 2 5 4 4 3" xfId="5011"/>
    <cellStyle name="Обычный 2 2 2 2 2 5 4 4 3 2" xfId="5012"/>
    <cellStyle name="Обычный 2 2 2 2 2 5 4 4 3 3" xfId="5013"/>
    <cellStyle name="Обычный 2 2 2 2 2 5 4 4 4" xfId="5014"/>
    <cellStyle name="Обычный 2 2 2 2 2 5 4 4 5" xfId="5015"/>
    <cellStyle name="Обычный 2 2 2 2 2 5 4 5" xfId="5016"/>
    <cellStyle name="Обычный 2 2 2 2 2 5 4 5 2" xfId="5017"/>
    <cellStyle name="Обычный 2 2 2 2 2 5 4 5 2 2" xfId="5018"/>
    <cellStyle name="Обычный 2 2 2 2 2 5 4 5 2 2 2" xfId="5019"/>
    <cellStyle name="Обычный 2 2 2 2 2 5 4 5 2 2 3" xfId="5020"/>
    <cellStyle name="Обычный 2 2 2 2 2 5 4 5 2 3" xfId="5021"/>
    <cellStyle name="Обычный 2 2 2 2 2 5 4 5 2 4" xfId="5022"/>
    <cellStyle name="Обычный 2 2 2 2 2 5 4 5 3" xfId="5023"/>
    <cellStyle name="Обычный 2 2 2 2 2 5 4 5 3 2" xfId="5024"/>
    <cellStyle name="Обычный 2 2 2 2 2 5 4 5 3 3" xfId="5025"/>
    <cellStyle name="Обычный 2 2 2 2 2 5 4 5 4" xfId="5026"/>
    <cellStyle name="Обычный 2 2 2 2 2 5 4 5 5" xfId="5027"/>
    <cellStyle name="Обычный 2 2 2 2 2 5 4 6" xfId="5028"/>
    <cellStyle name="Обычный 2 2 2 2 2 5 4 6 2" xfId="5029"/>
    <cellStyle name="Обычный 2 2 2 2 2 5 4 6 2 2" xfId="5030"/>
    <cellStyle name="Обычный 2 2 2 2 2 5 4 6 2 2 2" xfId="5031"/>
    <cellStyle name="Обычный 2 2 2 2 2 5 4 6 2 2 3" xfId="5032"/>
    <cellStyle name="Обычный 2 2 2 2 2 5 4 6 2 3" xfId="5033"/>
    <cellStyle name="Обычный 2 2 2 2 2 5 4 6 2 4" xfId="5034"/>
    <cellStyle name="Обычный 2 2 2 2 2 5 4 6 3" xfId="5035"/>
    <cellStyle name="Обычный 2 2 2 2 2 5 4 6 3 2" xfId="5036"/>
    <cellStyle name="Обычный 2 2 2 2 2 5 4 6 3 3" xfId="5037"/>
    <cellStyle name="Обычный 2 2 2 2 2 5 4 6 4" xfId="5038"/>
    <cellStyle name="Обычный 2 2 2 2 2 5 4 6 5" xfId="5039"/>
    <cellStyle name="Обычный 2 2 2 2 2 5 4 7" xfId="5040"/>
    <cellStyle name="Обычный 2 2 2 2 2 5 4 7 2" xfId="5041"/>
    <cellStyle name="Обычный 2 2 2 2 2 5 4 7 2 2" xfId="5042"/>
    <cellStyle name="Обычный 2 2 2 2 2 5 4 7 2 3" xfId="5043"/>
    <cellStyle name="Обычный 2 2 2 2 2 5 4 7 3" xfId="5044"/>
    <cellStyle name="Обычный 2 2 2 2 2 5 4 7 4" xfId="5045"/>
    <cellStyle name="Обычный 2 2 2 2 2 5 4 8" xfId="5046"/>
    <cellStyle name="Обычный 2 2 2 2 2 5 4 8 2" xfId="5047"/>
    <cellStyle name="Обычный 2 2 2 2 2 5 4 8 3" xfId="5048"/>
    <cellStyle name="Обычный 2 2 2 2 2 5 4 9" xfId="5049"/>
    <cellStyle name="Обычный 2 2 2 2 2 5 4_Расчет  30 млн_Технополис  Коренькова" xfId="5050"/>
    <cellStyle name="Обычный 2 2 2 2 2 5 5" xfId="5051"/>
    <cellStyle name="Обычный 2 2 2 2 2 5 5 2" xfId="5052"/>
    <cellStyle name="Обычный 2 2 2 2 2 5 5 2 2" xfId="5053"/>
    <cellStyle name="Обычный 2 2 2 2 2 5 5 2 2 2" xfId="5054"/>
    <cellStyle name="Обычный 2 2 2 2 2 5 5 2 2 3" xfId="5055"/>
    <cellStyle name="Обычный 2 2 2 2 2 5 5 2 3" xfId="5056"/>
    <cellStyle name="Обычный 2 2 2 2 2 5 5 2 4" xfId="5057"/>
    <cellStyle name="Обычный 2 2 2 2 2 5 5 3" xfId="5058"/>
    <cellStyle name="Обычный 2 2 2 2 2 5 5 3 2" xfId="5059"/>
    <cellStyle name="Обычный 2 2 2 2 2 5 5 3 3" xfId="5060"/>
    <cellStyle name="Обычный 2 2 2 2 2 5 5 4" xfId="5061"/>
    <cellStyle name="Обычный 2 2 2 2 2 5 5 5" xfId="5062"/>
    <cellStyle name="Обычный 2 2 2 2 2 5 6" xfId="5063"/>
    <cellStyle name="Обычный 2 2 2 2 2 5 6 2" xfId="5064"/>
    <cellStyle name="Обычный 2 2 2 2 2 5 6 2 2" xfId="5065"/>
    <cellStyle name="Обычный 2 2 2 2 2 5 6 2 2 2" xfId="5066"/>
    <cellStyle name="Обычный 2 2 2 2 2 5 6 2 2 3" xfId="5067"/>
    <cellStyle name="Обычный 2 2 2 2 2 5 6 2 3" xfId="5068"/>
    <cellStyle name="Обычный 2 2 2 2 2 5 6 2 4" xfId="5069"/>
    <cellStyle name="Обычный 2 2 2 2 2 5 6 3" xfId="5070"/>
    <cellStyle name="Обычный 2 2 2 2 2 5 6 3 2" xfId="5071"/>
    <cellStyle name="Обычный 2 2 2 2 2 5 6 3 3" xfId="5072"/>
    <cellStyle name="Обычный 2 2 2 2 2 5 6 4" xfId="5073"/>
    <cellStyle name="Обычный 2 2 2 2 2 5 6 5" xfId="5074"/>
    <cellStyle name="Обычный 2 2 2 2 2 5 7" xfId="5075"/>
    <cellStyle name="Обычный 2 2 2 2 2 5 7 2" xfId="5076"/>
    <cellStyle name="Обычный 2 2 2 2 2 5 7 2 2" xfId="5077"/>
    <cellStyle name="Обычный 2 2 2 2 2 5 7 2 2 2" xfId="5078"/>
    <cellStyle name="Обычный 2 2 2 2 2 5 7 2 2 3" xfId="5079"/>
    <cellStyle name="Обычный 2 2 2 2 2 5 7 2 3" xfId="5080"/>
    <cellStyle name="Обычный 2 2 2 2 2 5 7 2 4" xfId="5081"/>
    <cellStyle name="Обычный 2 2 2 2 2 5 7 3" xfId="5082"/>
    <cellStyle name="Обычный 2 2 2 2 2 5 7 3 2" xfId="5083"/>
    <cellStyle name="Обычный 2 2 2 2 2 5 7 3 3" xfId="5084"/>
    <cellStyle name="Обычный 2 2 2 2 2 5 7 4" xfId="5085"/>
    <cellStyle name="Обычный 2 2 2 2 2 5 7 5" xfId="5086"/>
    <cellStyle name="Обычный 2 2 2 2 2 5 8" xfId="5087"/>
    <cellStyle name="Обычный 2 2 2 2 2 5 8 2" xfId="5088"/>
    <cellStyle name="Обычный 2 2 2 2 2 5 8 2 2" xfId="5089"/>
    <cellStyle name="Обычный 2 2 2 2 2 5 8 2 2 2" xfId="5090"/>
    <cellStyle name="Обычный 2 2 2 2 2 5 8 2 2 3" xfId="5091"/>
    <cellStyle name="Обычный 2 2 2 2 2 5 8 2 3" xfId="5092"/>
    <cellStyle name="Обычный 2 2 2 2 2 5 8 2 4" xfId="5093"/>
    <cellStyle name="Обычный 2 2 2 2 2 5 8 3" xfId="5094"/>
    <cellStyle name="Обычный 2 2 2 2 2 5 8 3 2" xfId="5095"/>
    <cellStyle name="Обычный 2 2 2 2 2 5 8 3 3" xfId="5096"/>
    <cellStyle name="Обычный 2 2 2 2 2 5 8 4" xfId="5097"/>
    <cellStyle name="Обычный 2 2 2 2 2 5 8 5" xfId="5098"/>
    <cellStyle name="Обычный 2 2 2 2 2 5 9" xfId="5099"/>
    <cellStyle name="Обычный 2 2 2 2 2 5 9 2" xfId="5100"/>
    <cellStyle name="Обычный 2 2 2 2 2 5 9 2 2" xfId="5101"/>
    <cellStyle name="Обычный 2 2 2 2 2 5 9 2 2 2" xfId="5102"/>
    <cellStyle name="Обычный 2 2 2 2 2 5 9 2 2 3" xfId="5103"/>
    <cellStyle name="Обычный 2 2 2 2 2 5 9 2 3" xfId="5104"/>
    <cellStyle name="Обычный 2 2 2 2 2 5 9 2 4" xfId="5105"/>
    <cellStyle name="Обычный 2 2 2 2 2 5 9 3" xfId="5106"/>
    <cellStyle name="Обычный 2 2 2 2 2 5 9 3 2" xfId="5107"/>
    <cellStyle name="Обычный 2 2 2 2 2 5 9 3 3" xfId="5108"/>
    <cellStyle name="Обычный 2 2 2 2 2 5 9 4" xfId="5109"/>
    <cellStyle name="Обычный 2 2 2 2 2 5 9 5" xfId="5110"/>
    <cellStyle name="Обычный 2 2 2 2 2 5_1 ВАР. КП 1 293  +8пропорцЛара" xfId="5111"/>
    <cellStyle name="Обычный 2 2 2 2 2 6" xfId="5112"/>
    <cellStyle name="Обычный 2 2 2 2 2 6 10" xfId="5113"/>
    <cellStyle name="Обычный 2 2 2 2 2 6 2" xfId="5114"/>
    <cellStyle name="Обычный 2 2 2 2 2 6 2 2" xfId="5115"/>
    <cellStyle name="Обычный 2 2 2 2 2 6 2 2 2" xfId="5116"/>
    <cellStyle name="Обычный 2 2 2 2 2 6 2 2 2 2" xfId="5117"/>
    <cellStyle name="Обычный 2 2 2 2 2 6 2 2 2 3" xfId="5118"/>
    <cellStyle name="Обычный 2 2 2 2 2 6 2 2 3" xfId="5119"/>
    <cellStyle name="Обычный 2 2 2 2 2 6 2 2 4" xfId="5120"/>
    <cellStyle name="Обычный 2 2 2 2 2 6 2 3" xfId="5121"/>
    <cellStyle name="Обычный 2 2 2 2 2 6 2 3 2" xfId="5122"/>
    <cellStyle name="Обычный 2 2 2 2 2 6 2 3 3" xfId="5123"/>
    <cellStyle name="Обычный 2 2 2 2 2 6 2 4" xfId="5124"/>
    <cellStyle name="Обычный 2 2 2 2 2 6 2 5" xfId="5125"/>
    <cellStyle name="Обычный 2 2 2 2 2 6 3" xfId="5126"/>
    <cellStyle name="Обычный 2 2 2 2 2 6 3 2" xfId="5127"/>
    <cellStyle name="Обычный 2 2 2 2 2 6 3 2 2" xfId="5128"/>
    <cellStyle name="Обычный 2 2 2 2 2 6 3 2 2 2" xfId="5129"/>
    <cellStyle name="Обычный 2 2 2 2 2 6 3 2 2 3" xfId="5130"/>
    <cellStyle name="Обычный 2 2 2 2 2 6 3 2 3" xfId="5131"/>
    <cellStyle name="Обычный 2 2 2 2 2 6 3 2 4" xfId="5132"/>
    <cellStyle name="Обычный 2 2 2 2 2 6 3 3" xfId="5133"/>
    <cellStyle name="Обычный 2 2 2 2 2 6 3 3 2" xfId="5134"/>
    <cellStyle name="Обычный 2 2 2 2 2 6 3 3 3" xfId="5135"/>
    <cellStyle name="Обычный 2 2 2 2 2 6 3 4" xfId="5136"/>
    <cellStyle name="Обычный 2 2 2 2 2 6 3 5" xfId="5137"/>
    <cellStyle name="Обычный 2 2 2 2 2 6 4" xfId="5138"/>
    <cellStyle name="Обычный 2 2 2 2 2 6 4 2" xfId="5139"/>
    <cellStyle name="Обычный 2 2 2 2 2 6 4 2 2" xfId="5140"/>
    <cellStyle name="Обычный 2 2 2 2 2 6 4 2 2 2" xfId="5141"/>
    <cellStyle name="Обычный 2 2 2 2 2 6 4 2 2 3" xfId="5142"/>
    <cellStyle name="Обычный 2 2 2 2 2 6 4 2 3" xfId="5143"/>
    <cellStyle name="Обычный 2 2 2 2 2 6 4 2 4" xfId="5144"/>
    <cellStyle name="Обычный 2 2 2 2 2 6 4 3" xfId="5145"/>
    <cellStyle name="Обычный 2 2 2 2 2 6 4 3 2" xfId="5146"/>
    <cellStyle name="Обычный 2 2 2 2 2 6 4 3 3" xfId="5147"/>
    <cellStyle name="Обычный 2 2 2 2 2 6 4 4" xfId="5148"/>
    <cellStyle name="Обычный 2 2 2 2 2 6 4 5" xfId="5149"/>
    <cellStyle name="Обычный 2 2 2 2 2 6 5" xfId="5150"/>
    <cellStyle name="Обычный 2 2 2 2 2 6 5 2" xfId="5151"/>
    <cellStyle name="Обычный 2 2 2 2 2 6 5 2 2" xfId="5152"/>
    <cellStyle name="Обычный 2 2 2 2 2 6 5 2 2 2" xfId="5153"/>
    <cellStyle name="Обычный 2 2 2 2 2 6 5 2 2 3" xfId="5154"/>
    <cellStyle name="Обычный 2 2 2 2 2 6 5 2 3" xfId="5155"/>
    <cellStyle name="Обычный 2 2 2 2 2 6 5 2 4" xfId="5156"/>
    <cellStyle name="Обычный 2 2 2 2 2 6 5 3" xfId="5157"/>
    <cellStyle name="Обычный 2 2 2 2 2 6 5 3 2" xfId="5158"/>
    <cellStyle name="Обычный 2 2 2 2 2 6 5 3 3" xfId="5159"/>
    <cellStyle name="Обычный 2 2 2 2 2 6 5 4" xfId="5160"/>
    <cellStyle name="Обычный 2 2 2 2 2 6 5 5" xfId="5161"/>
    <cellStyle name="Обычный 2 2 2 2 2 6 6" xfId="5162"/>
    <cellStyle name="Обычный 2 2 2 2 2 6 6 2" xfId="5163"/>
    <cellStyle name="Обычный 2 2 2 2 2 6 6 2 2" xfId="5164"/>
    <cellStyle name="Обычный 2 2 2 2 2 6 6 2 2 2" xfId="5165"/>
    <cellStyle name="Обычный 2 2 2 2 2 6 6 2 2 3" xfId="5166"/>
    <cellStyle name="Обычный 2 2 2 2 2 6 6 2 3" xfId="5167"/>
    <cellStyle name="Обычный 2 2 2 2 2 6 6 2 4" xfId="5168"/>
    <cellStyle name="Обычный 2 2 2 2 2 6 6 3" xfId="5169"/>
    <cellStyle name="Обычный 2 2 2 2 2 6 6 3 2" xfId="5170"/>
    <cellStyle name="Обычный 2 2 2 2 2 6 6 3 3" xfId="5171"/>
    <cellStyle name="Обычный 2 2 2 2 2 6 6 4" xfId="5172"/>
    <cellStyle name="Обычный 2 2 2 2 2 6 6 5" xfId="5173"/>
    <cellStyle name="Обычный 2 2 2 2 2 6 7" xfId="5174"/>
    <cellStyle name="Обычный 2 2 2 2 2 6 7 2" xfId="5175"/>
    <cellStyle name="Обычный 2 2 2 2 2 6 7 2 2" xfId="5176"/>
    <cellStyle name="Обычный 2 2 2 2 2 6 7 2 3" xfId="5177"/>
    <cellStyle name="Обычный 2 2 2 2 2 6 7 3" xfId="5178"/>
    <cellStyle name="Обычный 2 2 2 2 2 6 7 4" xfId="5179"/>
    <cellStyle name="Обычный 2 2 2 2 2 6 8" xfId="5180"/>
    <cellStyle name="Обычный 2 2 2 2 2 6 8 2" xfId="5181"/>
    <cellStyle name="Обычный 2 2 2 2 2 6 8 3" xfId="5182"/>
    <cellStyle name="Обычный 2 2 2 2 2 6 9" xfId="5183"/>
    <cellStyle name="Обычный 2 2 2 2 2 6_Расчет  30 млн_Технополис  Коренькова" xfId="5184"/>
    <cellStyle name="Обычный 2 2 2 2 2 7" xfId="5185"/>
    <cellStyle name="Обычный 2 2 2 2 2 8" xfId="5186"/>
    <cellStyle name="Обычный 2 2 2 2 2 9" xfId="5187"/>
    <cellStyle name="Обычный 2 2 2 2 20" xfId="5188"/>
    <cellStyle name="Обычный 2 2 2 2 21" xfId="5189"/>
    <cellStyle name="Обычный 2 2 2 2 3" xfId="5190"/>
    <cellStyle name="Обычный 2 2 2 2 4" xfId="5191"/>
    <cellStyle name="Обычный 2 2 2 2 4 10" xfId="5192"/>
    <cellStyle name="Обычный 2 2 2 2 4 10 2" xfId="5193"/>
    <cellStyle name="Обычный 2 2 2 2 4 10 2 2" xfId="5194"/>
    <cellStyle name="Обычный 2 2 2 2 4 10 2 2 2" xfId="5195"/>
    <cellStyle name="Обычный 2 2 2 2 4 10 2 2 3" xfId="5196"/>
    <cellStyle name="Обычный 2 2 2 2 4 10 2 3" xfId="5197"/>
    <cellStyle name="Обычный 2 2 2 2 4 10 2 4" xfId="5198"/>
    <cellStyle name="Обычный 2 2 2 2 4 10 3" xfId="5199"/>
    <cellStyle name="Обычный 2 2 2 2 4 10 3 2" xfId="5200"/>
    <cellStyle name="Обычный 2 2 2 2 4 10 3 3" xfId="5201"/>
    <cellStyle name="Обычный 2 2 2 2 4 10 4" xfId="5202"/>
    <cellStyle name="Обычный 2 2 2 2 4 10 5" xfId="5203"/>
    <cellStyle name="Обычный 2 2 2 2 4 11" xfId="5204"/>
    <cellStyle name="Обычный 2 2 2 2 4 11 2" xfId="5205"/>
    <cellStyle name="Обычный 2 2 2 2 4 11 2 2" xfId="5206"/>
    <cellStyle name="Обычный 2 2 2 2 4 11 2 2 2" xfId="5207"/>
    <cellStyle name="Обычный 2 2 2 2 4 11 2 2 3" xfId="5208"/>
    <cellStyle name="Обычный 2 2 2 2 4 11 2 3" xfId="5209"/>
    <cellStyle name="Обычный 2 2 2 2 4 11 2 4" xfId="5210"/>
    <cellStyle name="Обычный 2 2 2 2 4 11 3" xfId="5211"/>
    <cellStyle name="Обычный 2 2 2 2 4 11 3 2" xfId="5212"/>
    <cellStyle name="Обычный 2 2 2 2 4 11 3 3" xfId="5213"/>
    <cellStyle name="Обычный 2 2 2 2 4 11 4" xfId="5214"/>
    <cellStyle name="Обычный 2 2 2 2 4 11 5" xfId="5215"/>
    <cellStyle name="Обычный 2 2 2 2 4 12" xfId="5216"/>
    <cellStyle name="Обычный 2 2 2 2 4 12 2" xfId="5217"/>
    <cellStyle name="Обычный 2 2 2 2 4 12 2 2" xfId="5218"/>
    <cellStyle name="Обычный 2 2 2 2 4 12 2 3" xfId="5219"/>
    <cellStyle name="Обычный 2 2 2 2 4 12 3" xfId="5220"/>
    <cellStyle name="Обычный 2 2 2 2 4 12 4" xfId="5221"/>
    <cellStyle name="Обычный 2 2 2 2 4 13" xfId="5222"/>
    <cellStyle name="Обычный 2 2 2 2 4 13 2" xfId="5223"/>
    <cellStyle name="Обычный 2 2 2 2 4 13 3" xfId="5224"/>
    <cellStyle name="Обычный 2 2 2 2 4 14" xfId="5225"/>
    <cellStyle name="Обычный 2 2 2 2 4 15" xfId="5226"/>
    <cellStyle name="Обычный 2 2 2 2 4 2" xfId="5227"/>
    <cellStyle name="Обычный 2 2 2 2 4 2 10" xfId="5228"/>
    <cellStyle name="Обычный 2 2 2 2 4 2 10 2" xfId="5229"/>
    <cellStyle name="Обычный 2 2 2 2 4 2 10 2 2" xfId="5230"/>
    <cellStyle name="Обычный 2 2 2 2 4 2 10 2 3" xfId="5231"/>
    <cellStyle name="Обычный 2 2 2 2 4 2 10 3" xfId="5232"/>
    <cellStyle name="Обычный 2 2 2 2 4 2 10 4" xfId="5233"/>
    <cellStyle name="Обычный 2 2 2 2 4 2 11" xfId="5234"/>
    <cellStyle name="Обычный 2 2 2 2 4 2 11 2" xfId="5235"/>
    <cellStyle name="Обычный 2 2 2 2 4 2 11 3" xfId="5236"/>
    <cellStyle name="Обычный 2 2 2 2 4 2 12" xfId="5237"/>
    <cellStyle name="Обычный 2 2 2 2 4 2 13" xfId="5238"/>
    <cellStyle name="Обычный 2 2 2 2 4 2 2" xfId="5239"/>
    <cellStyle name="Обычный 2 2 2 2 4 2 2 10" xfId="5240"/>
    <cellStyle name="Обычный 2 2 2 2 4 2 2 2" xfId="5241"/>
    <cellStyle name="Обычный 2 2 2 2 4 2 2 2 2" xfId="5242"/>
    <cellStyle name="Обычный 2 2 2 2 4 2 2 2 2 2" xfId="5243"/>
    <cellStyle name="Обычный 2 2 2 2 4 2 2 2 2 2 2" xfId="5244"/>
    <cellStyle name="Обычный 2 2 2 2 4 2 2 2 2 2 3" xfId="5245"/>
    <cellStyle name="Обычный 2 2 2 2 4 2 2 2 2 3" xfId="5246"/>
    <cellStyle name="Обычный 2 2 2 2 4 2 2 2 2 4" xfId="5247"/>
    <cellStyle name="Обычный 2 2 2 2 4 2 2 2 3" xfId="5248"/>
    <cellStyle name="Обычный 2 2 2 2 4 2 2 2 3 2" xfId="5249"/>
    <cellStyle name="Обычный 2 2 2 2 4 2 2 2 3 3" xfId="5250"/>
    <cellStyle name="Обычный 2 2 2 2 4 2 2 2 4" xfId="5251"/>
    <cellStyle name="Обычный 2 2 2 2 4 2 2 2 5" xfId="5252"/>
    <cellStyle name="Обычный 2 2 2 2 4 2 2 3" xfId="5253"/>
    <cellStyle name="Обычный 2 2 2 2 4 2 2 3 2" xfId="5254"/>
    <cellStyle name="Обычный 2 2 2 2 4 2 2 3 2 2" xfId="5255"/>
    <cellStyle name="Обычный 2 2 2 2 4 2 2 3 2 2 2" xfId="5256"/>
    <cellStyle name="Обычный 2 2 2 2 4 2 2 3 2 2 3" xfId="5257"/>
    <cellStyle name="Обычный 2 2 2 2 4 2 2 3 2 3" xfId="5258"/>
    <cellStyle name="Обычный 2 2 2 2 4 2 2 3 2 4" xfId="5259"/>
    <cellStyle name="Обычный 2 2 2 2 4 2 2 3 3" xfId="5260"/>
    <cellStyle name="Обычный 2 2 2 2 4 2 2 3 3 2" xfId="5261"/>
    <cellStyle name="Обычный 2 2 2 2 4 2 2 3 3 3" xfId="5262"/>
    <cellStyle name="Обычный 2 2 2 2 4 2 2 3 4" xfId="5263"/>
    <cellStyle name="Обычный 2 2 2 2 4 2 2 3 5" xfId="5264"/>
    <cellStyle name="Обычный 2 2 2 2 4 2 2 4" xfId="5265"/>
    <cellStyle name="Обычный 2 2 2 2 4 2 2 4 2" xfId="5266"/>
    <cellStyle name="Обычный 2 2 2 2 4 2 2 4 2 2" xfId="5267"/>
    <cellStyle name="Обычный 2 2 2 2 4 2 2 4 2 2 2" xfId="5268"/>
    <cellStyle name="Обычный 2 2 2 2 4 2 2 4 2 2 3" xfId="5269"/>
    <cellStyle name="Обычный 2 2 2 2 4 2 2 4 2 3" xfId="5270"/>
    <cellStyle name="Обычный 2 2 2 2 4 2 2 4 2 4" xfId="5271"/>
    <cellStyle name="Обычный 2 2 2 2 4 2 2 4 3" xfId="5272"/>
    <cellStyle name="Обычный 2 2 2 2 4 2 2 4 3 2" xfId="5273"/>
    <cellStyle name="Обычный 2 2 2 2 4 2 2 4 3 3" xfId="5274"/>
    <cellStyle name="Обычный 2 2 2 2 4 2 2 4 4" xfId="5275"/>
    <cellStyle name="Обычный 2 2 2 2 4 2 2 4 5" xfId="5276"/>
    <cellStyle name="Обычный 2 2 2 2 4 2 2 5" xfId="5277"/>
    <cellStyle name="Обычный 2 2 2 2 4 2 2 5 2" xfId="5278"/>
    <cellStyle name="Обычный 2 2 2 2 4 2 2 5 2 2" xfId="5279"/>
    <cellStyle name="Обычный 2 2 2 2 4 2 2 5 2 2 2" xfId="5280"/>
    <cellStyle name="Обычный 2 2 2 2 4 2 2 5 2 2 3" xfId="5281"/>
    <cellStyle name="Обычный 2 2 2 2 4 2 2 5 2 3" xfId="5282"/>
    <cellStyle name="Обычный 2 2 2 2 4 2 2 5 2 4" xfId="5283"/>
    <cellStyle name="Обычный 2 2 2 2 4 2 2 5 3" xfId="5284"/>
    <cellStyle name="Обычный 2 2 2 2 4 2 2 5 3 2" xfId="5285"/>
    <cellStyle name="Обычный 2 2 2 2 4 2 2 5 3 3" xfId="5286"/>
    <cellStyle name="Обычный 2 2 2 2 4 2 2 5 4" xfId="5287"/>
    <cellStyle name="Обычный 2 2 2 2 4 2 2 5 5" xfId="5288"/>
    <cellStyle name="Обычный 2 2 2 2 4 2 2 6" xfId="5289"/>
    <cellStyle name="Обычный 2 2 2 2 4 2 2 6 2" xfId="5290"/>
    <cellStyle name="Обычный 2 2 2 2 4 2 2 6 2 2" xfId="5291"/>
    <cellStyle name="Обычный 2 2 2 2 4 2 2 6 2 2 2" xfId="5292"/>
    <cellStyle name="Обычный 2 2 2 2 4 2 2 6 2 2 3" xfId="5293"/>
    <cellStyle name="Обычный 2 2 2 2 4 2 2 6 2 3" xfId="5294"/>
    <cellStyle name="Обычный 2 2 2 2 4 2 2 6 2 4" xfId="5295"/>
    <cellStyle name="Обычный 2 2 2 2 4 2 2 6 3" xfId="5296"/>
    <cellStyle name="Обычный 2 2 2 2 4 2 2 6 3 2" xfId="5297"/>
    <cellStyle name="Обычный 2 2 2 2 4 2 2 6 3 3" xfId="5298"/>
    <cellStyle name="Обычный 2 2 2 2 4 2 2 6 4" xfId="5299"/>
    <cellStyle name="Обычный 2 2 2 2 4 2 2 6 5" xfId="5300"/>
    <cellStyle name="Обычный 2 2 2 2 4 2 2 7" xfId="5301"/>
    <cellStyle name="Обычный 2 2 2 2 4 2 2 7 2" xfId="5302"/>
    <cellStyle name="Обычный 2 2 2 2 4 2 2 7 2 2" xfId="5303"/>
    <cellStyle name="Обычный 2 2 2 2 4 2 2 7 2 3" xfId="5304"/>
    <cellStyle name="Обычный 2 2 2 2 4 2 2 7 3" xfId="5305"/>
    <cellStyle name="Обычный 2 2 2 2 4 2 2 7 4" xfId="5306"/>
    <cellStyle name="Обычный 2 2 2 2 4 2 2 8" xfId="5307"/>
    <cellStyle name="Обычный 2 2 2 2 4 2 2 8 2" xfId="5308"/>
    <cellStyle name="Обычный 2 2 2 2 4 2 2 8 3" xfId="5309"/>
    <cellStyle name="Обычный 2 2 2 2 4 2 2 9" xfId="5310"/>
    <cellStyle name="Обычный 2 2 2 2 4 2 2_Расчет  30 млн_Технополис  Коренькова" xfId="5311"/>
    <cellStyle name="Обычный 2 2 2 2 4 2 3" xfId="5312"/>
    <cellStyle name="Обычный 2 2 2 2 4 2 3 10" xfId="5313"/>
    <cellStyle name="Обычный 2 2 2 2 4 2 3 2" xfId="5314"/>
    <cellStyle name="Обычный 2 2 2 2 4 2 3 2 2" xfId="5315"/>
    <cellStyle name="Обычный 2 2 2 2 4 2 3 2 2 2" xfId="5316"/>
    <cellStyle name="Обычный 2 2 2 2 4 2 3 2 2 2 2" xfId="5317"/>
    <cellStyle name="Обычный 2 2 2 2 4 2 3 2 2 2 3" xfId="5318"/>
    <cellStyle name="Обычный 2 2 2 2 4 2 3 2 2 3" xfId="5319"/>
    <cellStyle name="Обычный 2 2 2 2 4 2 3 2 2 4" xfId="5320"/>
    <cellStyle name="Обычный 2 2 2 2 4 2 3 2 3" xfId="5321"/>
    <cellStyle name="Обычный 2 2 2 2 4 2 3 2 3 2" xfId="5322"/>
    <cellStyle name="Обычный 2 2 2 2 4 2 3 2 3 3" xfId="5323"/>
    <cellStyle name="Обычный 2 2 2 2 4 2 3 2 4" xfId="5324"/>
    <cellStyle name="Обычный 2 2 2 2 4 2 3 2 5" xfId="5325"/>
    <cellStyle name="Обычный 2 2 2 2 4 2 3 3" xfId="5326"/>
    <cellStyle name="Обычный 2 2 2 2 4 2 3 3 2" xfId="5327"/>
    <cellStyle name="Обычный 2 2 2 2 4 2 3 3 2 2" xfId="5328"/>
    <cellStyle name="Обычный 2 2 2 2 4 2 3 3 2 2 2" xfId="5329"/>
    <cellStyle name="Обычный 2 2 2 2 4 2 3 3 2 2 3" xfId="5330"/>
    <cellStyle name="Обычный 2 2 2 2 4 2 3 3 2 3" xfId="5331"/>
    <cellStyle name="Обычный 2 2 2 2 4 2 3 3 2 4" xfId="5332"/>
    <cellStyle name="Обычный 2 2 2 2 4 2 3 3 3" xfId="5333"/>
    <cellStyle name="Обычный 2 2 2 2 4 2 3 3 3 2" xfId="5334"/>
    <cellStyle name="Обычный 2 2 2 2 4 2 3 3 3 3" xfId="5335"/>
    <cellStyle name="Обычный 2 2 2 2 4 2 3 3 4" xfId="5336"/>
    <cellStyle name="Обычный 2 2 2 2 4 2 3 3 5" xfId="5337"/>
    <cellStyle name="Обычный 2 2 2 2 4 2 3 4" xfId="5338"/>
    <cellStyle name="Обычный 2 2 2 2 4 2 3 4 2" xfId="5339"/>
    <cellStyle name="Обычный 2 2 2 2 4 2 3 4 2 2" xfId="5340"/>
    <cellStyle name="Обычный 2 2 2 2 4 2 3 4 2 2 2" xfId="5341"/>
    <cellStyle name="Обычный 2 2 2 2 4 2 3 4 2 2 3" xfId="5342"/>
    <cellStyle name="Обычный 2 2 2 2 4 2 3 4 2 3" xfId="5343"/>
    <cellStyle name="Обычный 2 2 2 2 4 2 3 4 2 4" xfId="5344"/>
    <cellStyle name="Обычный 2 2 2 2 4 2 3 4 3" xfId="5345"/>
    <cellStyle name="Обычный 2 2 2 2 4 2 3 4 3 2" xfId="5346"/>
    <cellStyle name="Обычный 2 2 2 2 4 2 3 4 3 3" xfId="5347"/>
    <cellStyle name="Обычный 2 2 2 2 4 2 3 4 4" xfId="5348"/>
    <cellStyle name="Обычный 2 2 2 2 4 2 3 4 5" xfId="5349"/>
    <cellStyle name="Обычный 2 2 2 2 4 2 3 5" xfId="5350"/>
    <cellStyle name="Обычный 2 2 2 2 4 2 3 5 2" xfId="5351"/>
    <cellStyle name="Обычный 2 2 2 2 4 2 3 5 2 2" xfId="5352"/>
    <cellStyle name="Обычный 2 2 2 2 4 2 3 5 2 2 2" xfId="5353"/>
    <cellStyle name="Обычный 2 2 2 2 4 2 3 5 2 2 3" xfId="5354"/>
    <cellStyle name="Обычный 2 2 2 2 4 2 3 5 2 3" xfId="5355"/>
    <cellStyle name="Обычный 2 2 2 2 4 2 3 5 2 4" xfId="5356"/>
    <cellStyle name="Обычный 2 2 2 2 4 2 3 5 3" xfId="5357"/>
    <cellStyle name="Обычный 2 2 2 2 4 2 3 5 3 2" xfId="5358"/>
    <cellStyle name="Обычный 2 2 2 2 4 2 3 5 3 3" xfId="5359"/>
    <cellStyle name="Обычный 2 2 2 2 4 2 3 5 4" xfId="5360"/>
    <cellStyle name="Обычный 2 2 2 2 4 2 3 5 5" xfId="5361"/>
    <cellStyle name="Обычный 2 2 2 2 4 2 3 6" xfId="5362"/>
    <cellStyle name="Обычный 2 2 2 2 4 2 3 6 2" xfId="5363"/>
    <cellStyle name="Обычный 2 2 2 2 4 2 3 6 2 2" xfId="5364"/>
    <cellStyle name="Обычный 2 2 2 2 4 2 3 6 2 2 2" xfId="5365"/>
    <cellStyle name="Обычный 2 2 2 2 4 2 3 6 2 2 3" xfId="5366"/>
    <cellStyle name="Обычный 2 2 2 2 4 2 3 6 2 3" xfId="5367"/>
    <cellStyle name="Обычный 2 2 2 2 4 2 3 6 2 4" xfId="5368"/>
    <cellStyle name="Обычный 2 2 2 2 4 2 3 6 3" xfId="5369"/>
    <cellStyle name="Обычный 2 2 2 2 4 2 3 6 3 2" xfId="5370"/>
    <cellStyle name="Обычный 2 2 2 2 4 2 3 6 3 3" xfId="5371"/>
    <cellStyle name="Обычный 2 2 2 2 4 2 3 6 4" xfId="5372"/>
    <cellStyle name="Обычный 2 2 2 2 4 2 3 6 5" xfId="5373"/>
    <cellStyle name="Обычный 2 2 2 2 4 2 3 7" xfId="5374"/>
    <cellStyle name="Обычный 2 2 2 2 4 2 3 7 2" xfId="5375"/>
    <cellStyle name="Обычный 2 2 2 2 4 2 3 7 2 2" xfId="5376"/>
    <cellStyle name="Обычный 2 2 2 2 4 2 3 7 2 3" xfId="5377"/>
    <cellStyle name="Обычный 2 2 2 2 4 2 3 7 3" xfId="5378"/>
    <cellStyle name="Обычный 2 2 2 2 4 2 3 7 4" xfId="5379"/>
    <cellStyle name="Обычный 2 2 2 2 4 2 3 8" xfId="5380"/>
    <cellStyle name="Обычный 2 2 2 2 4 2 3 8 2" xfId="5381"/>
    <cellStyle name="Обычный 2 2 2 2 4 2 3 8 3" xfId="5382"/>
    <cellStyle name="Обычный 2 2 2 2 4 2 3 9" xfId="5383"/>
    <cellStyle name="Обычный 2 2 2 2 4 2 3_Расчет  30 млн_Технополис  Коренькова" xfId="5384"/>
    <cellStyle name="Обычный 2 2 2 2 4 2 4" xfId="5385"/>
    <cellStyle name="Обычный 2 2 2 2 4 2 4 10" xfId="5386"/>
    <cellStyle name="Обычный 2 2 2 2 4 2 4 2" xfId="5387"/>
    <cellStyle name="Обычный 2 2 2 2 4 2 4 2 2" xfId="5388"/>
    <cellStyle name="Обычный 2 2 2 2 4 2 4 2 2 2" xfId="5389"/>
    <cellStyle name="Обычный 2 2 2 2 4 2 4 2 2 2 2" xfId="5390"/>
    <cellStyle name="Обычный 2 2 2 2 4 2 4 2 2 2 3" xfId="5391"/>
    <cellStyle name="Обычный 2 2 2 2 4 2 4 2 2 3" xfId="5392"/>
    <cellStyle name="Обычный 2 2 2 2 4 2 4 2 2 4" xfId="5393"/>
    <cellStyle name="Обычный 2 2 2 2 4 2 4 2 3" xfId="5394"/>
    <cellStyle name="Обычный 2 2 2 2 4 2 4 2 3 2" xfId="5395"/>
    <cellStyle name="Обычный 2 2 2 2 4 2 4 2 3 3" xfId="5396"/>
    <cellStyle name="Обычный 2 2 2 2 4 2 4 2 4" xfId="5397"/>
    <cellStyle name="Обычный 2 2 2 2 4 2 4 2 5" xfId="5398"/>
    <cellStyle name="Обычный 2 2 2 2 4 2 4 3" xfId="5399"/>
    <cellStyle name="Обычный 2 2 2 2 4 2 4 3 2" xfId="5400"/>
    <cellStyle name="Обычный 2 2 2 2 4 2 4 3 2 2" xfId="5401"/>
    <cellStyle name="Обычный 2 2 2 2 4 2 4 3 2 2 2" xfId="5402"/>
    <cellStyle name="Обычный 2 2 2 2 4 2 4 3 2 2 3" xfId="5403"/>
    <cellStyle name="Обычный 2 2 2 2 4 2 4 3 2 3" xfId="5404"/>
    <cellStyle name="Обычный 2 2 2 2 4 2 4 3 2 4" xfId="5405"/>
    <cellStyle name="Обычный 2 2 2 2 4 2 4 3 3" xfId="5406"/>
    <cellStyle name="Обычный 2 2 2 2 4 2 4 3 3 2" xfId="5407"/>
    <cellStyle name="Обычный 2 2 2 2 4 2 4 3 3 3" xfId="5408"/>
    <cellStyle name="Обычный 2 2 2 2 4 2 4 3 4" xfId="5409"/>
    <cellStyle name="Обычный 2 2 2 2 4 2 4 3 5" xfId="5410"/>
    <cellStyle name="Обычный 2 2 2 2 4 2 4 4" xfId="5411"/>
    <cellStyle name="Обычный 2 2 2 2 4 2 4 4 2" xfId="5412"/>
    <cellStyle name="Обычный 2 2 2 2 4 2 4 4 2 2" xfId="5413"/>
    <cellStyle name="Обычный 2 2 2 2 4 2 4 4 2 2 2" xfId="5414"/>
    <cellStyle name="Обычный 2 2 2 2 4 2 4 4 2 2 3" xfId="5415"/>
    <cellStyle name="Обычный 2 2 2 2 4 2 4 4 2 3" xfId="5416"/>
    <cellStyle name="Обычный 2 2 2 2 4 2 4 4 2 4" xfId="5417"/>
    <cellStyle name="Обычный 2 2 2 2 4 2 4 4 3" xfId="5418"/>
    <cellStyle name="Обычный 2 2 2 2 4 2 4 4 3 2" xfId="5419"/>
    <cellStyle name="Обычный 2 2 2 2 4 2 4 4 3 3" xfId="5420"/>
    <cellStyle name="Обычный 2 2 2 2 4 2 4 4 4" xfId="5421"/>
    <cellStyle name="Обычный 2 2 2 2 4 2 4 4 5" xfId="5422"/>
    <cellStyle name="Обычный 2 2 2 2 4 2 4 5" xfId="5423"/>
    <cellStyle name="Обычный 2 2 2 2 4 2 4 5 2" xfId="5424"/>
    <cellStyle name="Обычный 2 2 2 2 4 2 4 5 2 2" xfId="5425"/>
    <cellStyle name="Обычный 2 2 2 2 4 2 4 5 2 2 2" xfId="5426"/>
    <cellStyle name="Обычный 2 2 2 2 4 2 4 5 2 2 3" xfId="5427"/>
    <cellStyle name="Обычный 2 2 2 2 4 2 4 5 2 3" xfId="5428"/>
    <cellStyle name="Обычный 2 2 2 2 4 2 4 5 2 4" xfId="5429"/>
    <cellStyle name="Обычный 2 2 2 2 4 2 4 5 3" xfId="5430"/>
    <cellStyle name="Обычный 2 2 2 2 4 2 4 5 3 2" xfId="5431"/>
    <cellStyle name="Обычный 2 2 2 2 4 2 4 5 3 3" xfId="5432"/>
    <cellStyle name="Обычный 2 2 2 2 4 2 4 5 4" xfId="5433"/>
    <cellStyle name="Обычный 2 2 2 2 4 2 4 5 5" xfId="5434"/>
    <cellStyle name="Обычный 2 2 2 2 4 2 4 6" xfId="5435"/>
    <cellStyle name="Обычный 2 2 2 2 4 2 4 6 2" xfId="5436"/>
    <cellStyle name="Обычный 2 2 2 2 4 2 4 6 2 2" xfId="5437"/>
    <cellStyle name="Обычный 2 2 2 2 4 2 4 6 2 2 2" xfId="5438"/>
    <cellStyle name="Обычный 2 2 2 2 4 2 4 6 2 2 3" xfId="5439"/>
    <cellStyle name="Обычный 2 2 2 2 4 2 4 6 2 3" xfId="5440"/>
    <cellStyle name="Обычный 2 2 2 2 4 2 4 6 2 4" xfId="5441"/>
    <cellStyle name="Обычный 2 2 2 2 4 2 4 6 3" xfId="5442"/>
    <cellStyle name="Обычный 2 2 2 2 4 2 4 6 3 2" xfId="5443"/>
    <cellStyle name="Обычный 2 2 2 2 4 2 4 6 3 3" xfId="5444"/>
    <cellStyle name="Обычный 2 2 2 2 4 2 4 6 4" xfId="5445"/>
    <cellStyle name="Обычный 2 2 2 2 4 2 4 6 5" xfId="5446"/>
    <cellStyle name="Обычный 2 2 2 2 4 2 4 7" xfId="5447"/>
    <cellStyle name="Обычный 2 2 2 2 4 2 4 7 2" xfId="5448"/>
    <cellStyle name="Обычный 2 2 2 2 4 2 4 7 2 2" xfId="5449"/>
    <cellStyle name="Обычный 2 2 2 2 4 2 4 7 2 3" xfId="5450"/>
    <cellStyle name="Обычный 2 2 2 2 4 2 4 7 3" xfId="5451"/>
    <cellStyle name="Обычный 2 2 2 2 4 2 4 7 4" xfId="5452"/>
    <cellStyle name="Обычный 2 2 2 2 4 2 4 8" xfId="5453"/>
    <cellStyle name="Обычный 2 2 2 2 4 2 4 8 2" xfId="5454"/>
    <cellStyle name="Обычный 2 2 2 2 4 2 4 8 3" xfId="5455"/>
    <cellStyle name="Обычный 2 2 2 2 4 2 4 9" xfId="5456"/>
    <cellStyle name="Обычный 2 2 2 2 4 2 4_Расчет  30 млн_Технополис  Коренькова" xfId="5457"/>
    <cellStyle name="Обычный 2 2 2 2 4 2 5" xfId="5458"/>
    <cellStyle name="Обычный 2 2 2 2 4 2 5 2" xfId="5459"/>
    <cellStyle name="Обычный 2 2 2 2 4 2 5 2 2" xfId="5460"/>
    <cellStyle name="Обычный 2 2 2 2 4 2 5 2 2 2" xfId="5461"/>
    <cellStyle name="Обычный 2 2 2 2 4 2 5 2 2 3" xfId="5462"/>
    <cellStyle name="Обычный 2 2 2 2 4 2 5 2 3" xfId="5463"/>
    <cellStyle name="Обычный 2 2 2 2 4 2 5 2 4" xfId="5464"/>
    <cellStyle name="Обычный 2 2 2 2 4 2 5 3" xfId="5465"/>
    <cellStyle name="Обычный 2 2 2 2 4 2 5 3 2" xfId="5466"/>
    <cellStyle name="Обычный 2 2 2 2 4 2 5 3 3" xfId="5467"/>
    <cellStyle name="Обычный 2 2 2 2 4 2 5 4" xfId="5468"/>
    <cellStyle name="Обычный 2 2 2 2 4 2 5 5" xfId="5469"/>
    <cellStyle name="Обычный 2 2 2 2 4 2 6" xfId="5470"/>
    <cellStyle name="Обычный 2 2 2 2 4 2 6 2" xfId="5471"/>
    <cellStyle name="Обычный 2 2 2 2 4 2 6 2 2" xfId="5472"/>
    <cellStyle name="Обычный 2 2 2 2 4 2 6 2 2 2" xfId="5473"/>
    <cellStyle name="Обычный 2 2 2 2 4 2 6 2 2 3" xfId="5474"/>
    <cellStyle name="Обычный 2 2 2 2 4 2 6 2 3" xfId="5475"/>
    <cellStyle name="Обычный 2 2 2 2 4 2 6 2 4" xfId="5476"/>
    <cellStyle name="Обычный 2 2 2 2 4 2 6 3" xfId="5477"/>
    <cellStyle name="Обычный 2 2 2 2 4 2 6 3 2" xfId="5478"/>
    <cellStyle name="Обычный 2 2 2 2 4 2 6 3 3" xfId="5479"/>
    <cellStyle name="Обычный 2 2 2 2 4 2 6 4" xfId="5480"/>
    <cellStyle name="Обычный 2 2 2 2 4 2 6 5" xfId="5481"/>
    <cellStyle name="Обычный 2 2 2 2 4 2 7" xfId="5482"/>
    <cellStyle name="Обычный 2 2 2 2 4 2 7 2" xfId="5483"/>
    <cellStyle name="Обычный 2 2 2 2 4 2 7 2 2" xfId="5484"/>
    <cellStyle name="Обычный 2 2 2 2 4 2 7 2 2 2" xfId="5485"/>
    <cellStyle name="Обычный 2 2 2 2 4 2 7 2 2 3" xfId="5486"/>
    <cellStyle name="Обычный 2 2 2 2 4 2 7 2 3" xfId="5487"/>
    <cellStyle name="Обычный 2 2 2 2 4 2 7 2 4" xfId="5488"/>
    <cellStyle name="Обычный 2 2 2 2 4 2 7 3" xfId="5489"/>
    <cellStyle name="Обычный 2 2 2 2 4 2 7 3 2" xfId="5490"/>
    <cellStyle name="Обычный 2 2 2 2 4 2 7 3 3" xfId="5491"/>
    <cellStyle name="Обычный 2 2 2 2 4 2 7 4" xfId="5492"/>
    <cellStyle name="Обычный 2 2 2 2 4 2 7 5" xfId="5493"/>
    <cellStyle name="Обычный 2 2 2 2 4 2 8" xfId="5494"/>
    <cellStyle name="Обычный 2 2 2 2 4 2 8 2" xfId="5495"/>
    <cellStyle name="Обычный 2 2 2 2 4 2 8 2 2" xfId="5496"/>
    <cellStyle name="Обычный 2 2 2 2 4 2 8 2 2 2" xfId="5497"/>
    <cellStyle name="Обычный 2 2 2 2 4 2 8 2 2 3" xfId="5498"/>
    <cellStyle name="Обычный 2 2 2 2 4 2 8 2 3" xfId="5499"/>
    <cellStyle name="Обычный 2 2 2 2 4 2 8 2 4" xfId="5500"/>
    <cellStyle name="Обычный 2 2 2 2 4 2 8 3" xfId="5501"/>
    <cellStyle name="Обычный 2 2 2 2 4 2 8 3 2" xfId="5502"/>
    <cellStyle name="Обычный 2 2 2 2 4 2 8 3 3" xfId="5503"/>
    <cellStyle name="Обычный 2 2 2 2 4 2 8 4" xfId="5504"/>
    <cellStyle name="Обычный 2 2 2 2 4 2 8 5" xfId="5505"/>
    <cellStyle name="Обычный 2 2 2 2 4 2 9" xfId="5506"/>
    <cellStyle name="Обычный 2 2 2 2 4 2 9 2" xfId="5507"/>
    <cellStyle name="Обычный 2 2 2 2 4 2 9 2 2" xfId="5508"/>
    <cellStyle name="Обычный 2 2 2 2 4 2 9 2 2 2" xfId="5509"/>
    <cellStyle name="Обычный 2 2 2 2 4 2 9 2 2 3" xfId="5510"/>
    <cellStyle name="Обычный 2 2 2 2 4 2 9 2 3" xfId="5511"/>
    <cellStyle name="Обычный 2 2 2 2 4 2 9 2 4" xfId="5512"/>
    <cellStyle name="Обычный 2 2 2 2 4 2 9 3" xfId="5513"/>
    <cellStyle name="Обычный 2 2 2 2 4 2 9 3 2" xfId="5514"/>
    <cellStyle name="Обычный 2 2 2 2 4 2 9 3 3" xfId="5515"/>
    <cellStyle name="Обычный 2 2 2 2 4 2 9 4" xfId="5516"/>
    <cellStyle name="Обычный 2 2 2 2 4 2 9 5" xfId="5517"/>
    <cellStyle name="Обычный 2 2 2 2 4 2_1 ВАР. КП 1 293  +8пропорцЛара" xfId="5518"/>
    <cellStyle name="Обычный 2 2 2 2 4 3" xfId="5519"/>
    <cellStyle name="Обычный 2 2 2 2 4 3 10" xfId="5520"/>
    <cellStyle name="Обычный 2 2 2 2 4 3 2" xfId="5521"/>
    <cellStyle name="Обычный 2 2 2 2 4 3 2 2" xfId="5522"/>
    <cellStyle name="Обычный 2 2 2 2 4 3 2 2 2" xfId="5523"/>
    <cellStyle name="Обычный 2 2 2 2 4 3 2 2 2 2" xfId="5524"/>
    <cellStyle name="Обычный 2 2 2 2 4 3 2 2 2 3" xfId="5525"/>
    <cellStyle name="Обычный 2 2 2 2 4 3 2 2 3" xfId="5526"/>
    <cellStyle name="Обычный 2 2 2 2 4 3 2 2 4" xfId="5527"/>
    <cellStyle name="Обычный 2 2 2 2 4 3 2 3" xfId="5528"/>
    <cellStyle name="Обычный 2 2 2 2 4 3 2 3 2" xfId="5529"/>
    <cellStyle name="Обычный 2 2 2 2 4 3 2 3 3" xfId="5530"/>
    <cellStyle name="Обычный 2 2 2 2 4 3 2 4" xfId="5531"/>
    <cellStyle name="Обычный 2 2 2 2 4 3 2 5" xfId="5532"/>
    <cellStyle name="Обычный 2 2 2 2 4 3 3" xfId="5533"/>
    <cellStyle name="Обычный 2 2 2 2 4 3 3 2" xfId="5534"/>
    <cellStyle name="Обычный 2 2 2 2 4 3 3 2 2" xfId="5535"/>
    <cellStyle name="Обычный 2 2 2 2 4 3 3 2 2 2" xfId="5536"/>
    <cellStyle name="Обычный 2 2 2 2 4 3 3 2 2 3" xfId="5537"/>
    <cellStyle name="Обычный 2 2 2 2 4 3 3 2 3" xfId="5538"/>
    <cellStyle name="Обычный 2 2 2 2 4 3 3 2 4" xfId="5539"/>
    <cellStyle name="Обычный 2 2 2 2 4 3 3 3" xfId="5540"/>
    <cellStyle name="Обычный 2 2 2 2 4 3 3 3 2" xfId="5541"/>
    <cellStyle name="Обычный 2 2 2 2 4 3 3 3 3" xfId="5542"/>
    <cellStyle name="Обычный 2 2 2 2 4 3 3 4" xfId="5543"/>
    <cellStyle name="Обычный 2 2 2 2 4 3 3 5" xfId="5544"/>
    <cellStyle name="Обычный 2 2 2 2 4 3 4" xfId="5545"/>
    <cellStyle name="Обычный 2 2 2 2 4 3 4 2" xfId="5546"/>
    <cellStyle name="Обычный 2 2 2 2 4 3 4 2 2" xfId="5547"/>
    <cellStyle name="Обычный 2 2 2 2 4 3 4 2 2 2" xfId="5548"/>
    <cellStyle name="Обычный 2 2 2 2 4 3 4 2 2 3" xfId="5549"/>
    <cellStyle name="Обычный 2 2 2 2 4 3 4 2 3" xfId="5550"/>
    <cellStyle name="Обычный 2 2 2 2 4 3 4 2 4" xfId="5551"/>
    <cellStyle name="Обычный 2 2 2 2 4 3 4 3" xfId="5552"/>
    <cellStyle name="Обычный 2 2 2 2 4 3 4 3 2" xfId="5553"/>
    <cellStyle name="Обычный 2 2 2 2 4 3 4 3 3" xfId="5554"/>
    <cellStyle name="Обычный 2 2 2 2 4 3 4 4" xfId="5555"/>
    <cellStyle name="Обычный 2 2 2 2 4 3 4 5" xfId="5556"/>
    <cellStyle name="Обычный 2 2 2 2 4 3 5" xfId="5557"/>
    <cellStyle name="Обычный 2 2 2 2 4 3 5 2" xfId="5558"/>
    <cellStyle name="Обычный 2 2 2 2 4 3 5 2 2" xfId="5559"/>
    <cellStyle name="Обычный 2 2 2 2 4 3 5 2 2 2" xfId="5560"/>
    <cellStyle name="Обычный 2 2 2 2 4 3 5 2 2 3" xfId="5561"/>
    <cellStyle name="Обычный 2 2 2 2 4 3 5 2 3" xfId="5562"/>
    <cellStyle name="Обычный 2 2 2 2 4 3 5 2 4" xfId="5563"/>
    <cellStyle name="Обычный 2 2 2 2 4 3 5 3" xfId="5564"/>
    <cellStyle name="Обычный 2 2 2 2 4 3 5 3 2" xfId="5565"/>
    <cellStyle name="Обычный 2 2 2 2 4 3 5 3 3" xfId="5566"/>
    <cellStyle name="Обычный 2 2 2 2 4 3 5 4" xfId="5567"/>
    <cellStyle name="Обычный 2 2 2 2 4 3 5 5" xfId="5568"/>
    <cellStyle name="Обычный 2 2 2 2 4 3 6" xfId="5569"/>
    <cellStyle name="Обычный 2 2 2 2 4 3 6 2" xfId="5570"/>
    <cellStyle name="Обычный 2 2 2 2 4 3 6 2 2" xfId="5571"/>
    <cellStyle name="Обычный 2 2 2 2 4 3 6 2 2 2" xfId="5572"/>
    <cellStyle name="Обычный 2 2 2 2 4 3 6 2 2 3" xfId="5573"/>
    <cellStyle name="Обычный 2 2 2 2 4 3 6 2 3" xfId="5574"/>
    <cellStyle name="Обычный 2 2 2 2 4 3 6 2 4" xfId="5575"/>
    <cellStyle name="Обычный 2 2 2 2 4 3 6 3" xfId="5576"/>
    <cellStyle name="Обычный 2 2 2 2 4 3 6 3 2" xfId="5577"/>
    <cellStyle name="Обычный 2 2 2 2 4 3 6 3 3" xfId="5578"/>
    <cellStyle name="Обычный 2 2 2 2 4 3 6 4" xfId="5579"/>
    <cellStyle name="Обычный 2 2 2 2 4 3 6 5" xfId="5580"/>
    <cellStyle name="Обычный 2 2 2 2 4 3 7" xfId="5581"/>
    <cellStyle name="Обычный 2 2 2 2 4 3 7 2" xfId="5582"/>
    <cellStyle name="Обычный 2 2 2 2 4 3 7 2 2" xfId="5583"/>
    <cellStyle name="Обычный 2 2 2 2 4 3 7 2 3" xfId="5584"/>
    <cellStyle name="Обычный 2 2 2 2 4 3 7 3" xfId="5585"/>
    <cellStyle name="Обычный 2 2 2 2 4 3 7 4" xfId="5586"/>
    <cellStyle name="Обычный 2 2 2 2 4 3 8" xfId="5587"/>
    <cellStyle name="Обычный 2 2 2 2 4 3 8 2" xfId="5588"/>
    <cellStyle name="Обычный 2 2 2 2 4 3 8 3" xfId="5589"/>
    <cellStyle name="Обычный 2 2 2 2 4 3 9" xfId="5590"/>
    <cellStyle name="Обычный 2 2 2 2 4 3_Расчет  30 млн_Технополис  Коренькова" xfId="5591"/>
    <cellStyle name="Обычный 2 2 2 2 4 4" xfId="5592"/>
    <cellStyle name="Обычный 2 2 2 2 4 4 10" xfId="5593"/>
    <cellStyle name="Обычный 2 2 2 2 4 4 2" xfId="5594"/>
    <cellStyle name="Обычный 2 2 2 2 4 4 2 2" xfId="5595"/>
    <cellStyle name="Обычный 2 2 2 2 4 4 2 2 2" xfId="5596"/>
    <cellStyle name="Обычный 2 2 2 2 4 4 2 2 2 2" xfId="5597"/>
    <cellStyle name="Обычный 2 2 2 2 4 4 2 2 2 3" xfId="5598"/>
    <cellStyle name="Обычный 2 2 2 2 4 4 2 2 3" xfId="5599"/>
    <cellStyle name="Обычный 2 2 2 2 4 4 2 2 4" xfId="5600"/>
    <cellStyle name="Обычный 2 2 2 2 4 4 2 3" xfId="5601"/>
    <cellStyle name="Обычный 2 2 2 2 4 4 2 3 2" xfId="5602"/>
    <cellStyle name="Обычный 2 2 2 2 4 4 2 3 3" xfId="5603"/>
    <cellStyle name="Обычный 2 2 2 2 4 4 2 4" xfId="5604"/>
    <cellStyle name="Обычный 2 2 2 2 4 4 2 5" xfId="5605"/>
    <cellStyle name="Обычный 2 2 2 2 4 4 3" xfId="5606"/>
    <cellStyle name="Обычный 2 2 2 2 4 4 3 2" xfId="5607"/>
    <cellStyle name="Обычный 2 2 2 2 4 4 3 2 2" xfId="5608"/>
    <cellStyle name="Обычный 2 2 2 2 4 4 3 2 2 2" xfId="5609"/>
    <cellStyle name="Обычный 2 2 2 2 4 4 3 2 2 3" xfId="5610"/>
    <cellStyle name="Обычный 2 2 2 2 4 4 3 2 3" xfId="5611"/>
    <cellStyle name="Обычный 2 2 2 2 4 4 3 2 4" xfId="5612"/>
    <cellStyle name="Обычный 2 2 2 2 4 4 3 3" xfId="5613"/>
    <cellStyle name="Обычный 2 2 2 2 4 4 3 3 2" xfId="5614"/>
    <cellStyle name="Обычный 2 2 2 2 4 4 3 3 3" xfId="5615"/>
    <cellStyle name="Обычный 2 2 2 2 4 4 3 4" xfId="5616"/>
    <cellStyle name="Обычный 2 2 2 2 4 4 3 5" xfId="5617"/>
    <cellStyle name="Обычный 2 2 2 2 4 4 4" xfId="5618"/>
    <cellStyle name="Обычный 2 2 2 2 4 4 4 2" xfId="5619"/>
    <cellStyle name="Обычный 2 2 2 2 4 4 4 2 2" xfId="5620"/>
    <cellStyle name="Обычный 2 2 2 2 4 4 4 2 2 2" xfId="5621"/>
    <cellStyle name="Обычный 2 2 2 2 4 4 4 2 2 3" xfId="5622"/>
    <cellStyle name="Обычный 2 2 2 2 4 4 4 2 3" xfId="5623"/>
    <cellStyle name="Обычный 2 2 2 2 4 4 4 2 4" xfId="5624"/>
    <cellStyle name="Обычный 2 2 2 2 4 4 4 3" xfId="5625"/>
    <cellStyle name="Обычный 2 2 2 2 4 4 4 3 2" xfId="5626"/>
    <cellStyle name="Обычный 2 2 2 2 4 4 4 3 3" xfId="5627"/>
    <cellStyle name="Обычный 2 2 2 2 4 4 4 4" xfId="5628"/>
    <cellStyle name="Обычный 2 2 2 2 4 4 4 5" xfId="5629"/>
    <cellStyle name="Обычный 2 2 2 2 4 4 5" xfId="5630"/>
    <cellStyle name="Обычный 2 2 2 2 4 4 5 2" xfId="5631"/>
    <cellStyle name="Обычный 2 2 2 2 4 4 5 2 2" xfId="5632"/>
    <cellStyle name="Обычный 2 2 2 2 4 4 5 2 2 2" xfId="5633"/>
    <cellStyle name="Обычный 2 2 2 2 4 4 5 2 2 3" xfId="5634"/>
    <cellStyle name="Обычный 2 2 2 2 4 4 5 2 3" xfId="5635"/>
    <cellStyle name="Обычный 2 2 2 2 4 4 5 2 4" xfId="5636"/>
    <cellStyle name="Обычный 2 2 2 2 4 4 5 3" xfId="5637"/>
    <cellStyle name="Обычный 2 2 2 2 4 4 5 3 2" xfId="5638"/>
    <cellStyle name="Обычный 2 2 2 2 4 4 5 3 3" xfId="5639"/>
    <cellStyle name="Обычный 2 2 2 2 4 4 5 4" xfId="5640"/>
    <cellStyle name="Обычный 2 2 2 2 4 4 5 5" xfId="5641"/>
    <cellStyle name="Обычный 2 2 2 2 4 4 6" xfId="5642"/>
    <cellStyle name="Обычный 2 2 2 2 4 4 6 2" xfId="5643"/>
    <cellStyle name="Обычный 2 2 2 2 4 4 6 2 2" xfId="5644"/>
    <cellStyle name="Обычный 2 2 2 2 4 4 6 2 2 2" xfId="5645"/>
    <cellStyle name="Обычный 2 2 2 2 4 4 6 2 2 3" xfId="5646"/>
    <cellStyle name="Обычный 2 2 2 2 4 4 6 2 3" xfId="5647"/>
    <cellStyle name="Обычный 2 2 2 2 4 4 6 2 4" xfId="5648"/>
    <cellStyle name="Обычный 2 2 2 2 4 4 6 3" xfId="5649"/>
    <cellStyle name="Обычный 2 2 2 2 4 4 6 3 2" xfId="5650"/>
    <cellStyle name="Обычный 2 2 2 2 4 4 6 3 3" xfId="5651"/>
    <cellStyle name="Обычный 2 2 2 2 4 4 6 4" xfId="5652"/>
    <cellStyle name="Обычный 2 2 2 2 4 4 6 5" xfId="5653"/>
    <cellStyle name="Обычный 2 2 2 2 4 4 7" xfId="5654"/>
    <cellStyle name="Обычный 2 2 2 2 4 4 7 2" xfId="5655"/>
    <cellStyle name="Обычный 2 2 2 2 4 4 7 2 2" xfId="5656"/>
    <cellStyle name="Обычный 2 2 2 2 4 4 7 2 3" xfId="5657"/>
    <cellStyle name="Обычный 2 2 2 2 4 4 7 3" xfId="5658"/>
    <cellStyle name="Обычный 2 2 2 2 4 4 7 4" xfId="5659"/>
    <cellStyle name="Обычный 2 2 2 2 4 4 8" xfId="5660"/>
    <cellStyle name="Обычный 2 2 2 2 4 4 8 2" xfId="5661"/>
    <cellStyle name="Обычный 2 2 2 2 4 4 8 3" xfId="5662"/>
    <cellStyle name="Обычный 2 2 2 2 4 4 9" xfId="5663"/>
    <cellStyle name="Обычный 2 2 2 2 4 4_Расчет  30 млн_Технополис  Коренькова" xfId="5664"/>
    <cellStyle name="Обычный 2 2 2 2 4 5" xfId="5665"/>
    <cellStyle name="Обычный 2 2 2 2 4 5 10" xfId="5666"/>
    <cellStyle name="Обычный 2 2 2 2 4 5 2" xfId="5667"/>
    <cellStyle name="Обычный 2 2 2 2 4 5 2 2" xfId="5668"/>
    <cellStyle name="Обычный 2 2 2 2 4 5 2 2 2" xfId="5669"/>
    <cellStyle name="Обычный 2 2 2 2 4 5 2 2 2 2" xfId="5670"/>
    <cellStyle name="Обычный 2 2 2 2 4 5 2 2 2 3" xfId="5671"/>
    <cellStyle name="Обычный 2 2 2 2 4 5 2 2 3" xfId="5672"/>
    <cellStyle name="Обычный 2 2 2 2 4 5 2 2 4" xfId="5673"/>
    <cellStyle name="Обычный 2 2 2 2 4 5 2 3" xfId="5674"/>
    <cellStyle name="Обычный 2 2 2 2 4 5 2 3 2" xfId="5675"/>
    <cellStyle name="Обычный 2 2 2 2 4 5 2 3 3" xfId="5676"/>
    <cellStyle name="Обычный 2 2 2 2 4 5 2 4" xfId="5677"/>
    <cellStyle name="Обычный 2 2 2 2 4 5 2 5" xfId="5678"/>
    <cellStyle name="Обычный 2 2 2 2 4 5 3" xfId="5679"/>
    <cellStyle name="Обычный 2 2 2 2 4 5 3 2" xfId="5680"/>
    <cellStyle name="Обычный 2 2 2 2 4 5 3 2 2" xfId="5681"/>
    <cellStyle name="Обычный 2 2 2 2 4 5 3 2 2 2" xfId="5682"/>
    <cellStyle name="Обычный 2 2 2 2 4 5 3 2 2 3" xfId="5683"/>
    <cellStyle name="Обычный 2 2 2 2 4 5 3 2 3" xfId="5684"/>
    <cellStyle name="Обычный 2 2 2 2 4 5 3 2 4" xfId="5685"/>
    <cellStyle name="Обычный 2 2 2 2 4 5 3 3" xfId="5686"/>
    <cellStyle name="Обычный 2 2 2 2 4 5 3 3 2" xfId="5687"/>
    <cellStyle name="Обычный 2 2 2 2 4 5 3 3 3" xfId="5688"/>
    <cellStyle name="Обычный 2 2 2 2 4 5 3 4" xfId="5689"/>
    <cellStyle name="Обычный 2 2 2 2 4 5 3 5" xfId="5690"/>
    <cellStyle name="Обычный 2 2 2 2 4 5 4" xfId="5691"/>
    <cellStyle name="Обычный 2 2 2 2 4 5 4 2" xfId="5692"/>
    <cellStyle name="Обычный 2 2 2 2 4 5 4 2 2" xfId="5693"/>
    <cellStyle name="Обычный 2 2 2 2 4 5 4 2 2 2" xfId="5694"/>
    <cellStyle name="Обычный 2 2 2 2 4 5 4 2 2 3" xfId="5695"/>
    <cellStyle name="Обычный 2 2 2 2 4 5 4 2 3" xfId="5696"/>
    <cellStyle name="Обычный 2 2 2 2 4 5 4 2 4" xfId="5697"/>
    <cellStyle name="Обычный 2 2 2 2 4 5 4 3" xfId="5698"/>
    <cellStyle name="Обычный 2 2 2 2 4 5 4 3 2" xfId="5699"/>
    <cellStyle name="Обычный 2 2 2 2 4 5 4 3 3" xfId="5700"/>
    <cellStyle name="Обычный 2 2 2 2 4 5 4 4" xfId="5701"/>
    <cellStyle name="Обычный 2 2 2 2 4 5 4 5" xfId="5702"/>
    <cellStyle name="Обычный 2 2 2 2 4 5 5" xfId="5703"/>
    <cellStyle name="Обычный 2 2 2 2 4 5 5 2" xfId="5704"/>
    <cellStyle name="Обычный 2 2 2 2 4 5 5 2 2" xfId="5705"/>
    <cellStyle name="Обычный 2 2 2 2 4 5 5 2 2 2" xfId="5706"/>
    <cellStyle name="Обычный 2 2 2 2 4 5 5 2 2 3" xfId="5707"/>
    <cellStyle name="Обычный 2 2 2 2 4 5 5 2 3" xfId="5708"/>
    <cellStyle name="Обычный 2 2 2 2 4 5 5 2 4" xfId="5709"/>
    <cellStyle name="Обычный 2 2 2 2 4 5 5 3" xfId="5710"/>
    <cellStyle name="Обычный 2 2 2 2 4 5 5 3 2" xfId="5711"/>
    <cellStyle name="Обычный 2 2 2 2 4 5 5 3 3" xfId="5712"/>
    <cellStyle name="Обычный 2 2 2 2 4 5 5 4" xfId="5713"/>
    <cellStyle name="Обычный 2 2 2 2 4 5 5 5" xfId="5714"/>
    <cellStyle name="Обычный 2 2 2 2 4 5 6" xfId="5715"/>
    <cellStyle name="Обычный 2 2 2 2 4 5 6 2" xfId="5716"/>
    <cellStyle name="Обычный 2 2 2 2 4 5 6 2 2" xfId="5717"/>
    <cellStyle name="Обычный 2 2 2 2 4 5 6 2 2 2" xfId="5718"/>
    <cellStyle name="Обычный 2 2 2 2 4 5 6 2 2 3" xfId="5719"/>
    <cellStyle name="Обычный 2 2 2 2 4 5 6 2 3" xfId="5720"/>
    <cellStyle name="Обычный 2 2 2 2 4 5 6 2 4" xfId="5721"/>
    <cellStyle name="Обычный 2 2 2 2 4 5 6 3" xfId="5722"/>
    <cellStyle name="Обычный 2 2 2 2 4 5 6 3 2" xfId="5723"/>
    <cellStyle name="Обычный 2 2 2 2 4 5 6 3 3" xfId="5724"/>
    <cellStyle name="Обычный 2 2 2 2 4 5 6 4" xfId="5725"/>
    <cellStyle name="Обычный 2 2 2 2 4 5 6 5" xfId="5726"/>
    <cellStyle name="Обычный 2 2 2 2 4 5 7" xfId="5727"/>
    <cellStyle name="Обычный 2 2 2 2 4 5 7 2" xfId="5728"/>
    <cellStyle name="Обычный 2 2 2 2 4 5 7 2 2" xfId="5729"/>
    <cellStyle name="Обычный 2 2 2 2 4 5 7 2 3" xfId="5730"/>
    <cellStyle name="Обычный 2 2 2 2 4 5 7 3" xfId="5731"/>
    <cellStyle name="Обычный 2 2 2 2 4 5 7 4" xfId="5732"/>
    <cellStyle name="Обычный 2 2 2 2 4 5 8" xfId="5733"/>
    <cellStyle name="Обычный 2 2 2 2 4 5 8 2" xfId="5734"/>
    <cellStyle name="Обычный 2 2 2 2 4 5 8 3" xfId="5735"/>
    <cellStyle name="Обычный 2 2 2 2 4 5 9" xfId="5736"/>
    <cellStyle name="Обычный 2 2 2 2 4 5_Расчет  30 млн_Технополис  Коренькова" xfId="5737"/>
    <cellStyle name="Обычный 2 2 2 2 4 6" xfId="5738"/>
    <cellStyle name="Обычный 2 2 2 2 4 6 10" xfId="5739"/>
    <cellStyle name="Обычный 2 2 2 2 4 6 2" xfId="5740"/>
    <cellStyle name="Обычный 2 2 2 2 4 6 2 2" xfId="5741"/>
    <cellStyle name="Обычный 2 2 2 2 4 6 2 2 2" xfId="5742"/>
    <cellStyle name="Обычный 2 2 2 2 4 6 2 3" xfId="5743"/>
    <cellStyle name="Обычный 2 2 2 2 4 6 3" xfId="5744"/>
    <cellStyle name="Обычный 2 2 2 2 4 6 3 2" xfId="5745"/>
    <cellStyle name="Обычный 2 2 2 2 4 6 3 2 2" xfId="5746"/>
    <cellStyle name="Обычный 2 2 2 2 4 6 3 2 2 2" xfId="5747"/>
    <cellStyle name="Обычный 2 2 2 2 4 6 3 2 2 3" xfId="5748"/>
    <cellStyle name="Обычный 2 2 2 2 4 6 3 2 3" xfId="5749"/>
    <cellStyle name="Обычный 2 2 2 2 4 6 3 2 4" xfId="5750"/>
    <cellStyle name="Обычный 2 2 2 2 4 6 3 3" xfId="5751"/>
    <cellStyle name="Обычный 2 2 2 2 4 6 3 3 2" xfId="5752"/>
    <cellStyle name="Обычный 2 2 2 2 4 6 3 3 3" xfId="5753"/>
    <cellStyle name="Обычный 2 2 2 2 4 6 3 4" xfId="5754"/>
    <cellStyle name="Обычный 2 2 2 2 4 6 3 5" xfId="5755"/>
    <cellStyle name="Обычный 2 2 2 2 4 6 4" xfId="5756"/>
    <cellStyle name="Обычный 2 2 2 2 4 6 4 2" xfId="5757"/>
    <cellStyle name="Обычный 2 2 2 2 4 6 4 2 2" xfId="5758"/>
    <cellStyle name="Обычный 2 2 2 2 4 6 4 2 2 2" xfId="5759"/>
    <cellStyle name="Обычный 2 2 2 2 4 6 4 2 2 3" xfId="5760"/>
    <cellStyle name="Обычный 2 2 2 2 4 6 4 2 3" xfId="5761"/>
    <cellStyle name="Обычный 2 2 2 2 4 6 4 2 4" xfId="5762"/>
    <cellStyle name="Обычный 2 2 2 2 4 6 4 3" xfId="5763"/>
    <cellStyle name="Обычный 2 2 2 2 4 6 4 3 2" xfId="5764"/>
    <cellStyle name="Обычный 2 2 2 2 4 6 4 3 3" xfId="5765"/>
    <cellStyle name="Обычный 2 2 2 2 4 6 4 4" xfId="5766"/>
    <cellStyle name="Обычный 2 2 2 2 4 6 4 5" xfId="5767"/>
    <cellStyle name="Обычный 2 2 2 2 4 6 5" xfId="5768"/>
    <cellStyle name="Обычный 2 2 2 2 4 6 5 2" xfId="5769"/>
    <cellStyle name="Обычный 2 2 2 2 4 6 5 2 2" xfId="5770"/>
    <cellStyle name="Обычный 2 2 2 2 4 6 5 2 2 2" xfId="5771"/>
    <cellStyle name="Обычный 2 2 2 2 4 6 5 2 2 3" xfId="5772"/>
    <cellStyle name="Обычный 2 2 2 2 4 6 5 2 3" xfId="5773"/>
    <cellStyle name="Обычный 2 2 2 2 4 6 5 2 4" xfId="5774"/>
    <cellStyle name="Обычный 2 2 2 2 4 6 5 3" xfId="5775"/>
    <cellStyle name="Обычный 2 2 2 2 4 6 5 3 2" xfId="5776"/>
    <cellStyle name="Обычный 2 2 2 2 4 6 5 3 3" xfId="5777"/>
    <cellStyle name="Обычный 2 2 2 2 4 6 5 4" xfId="5778"/>
    <cellStyle name="Обычный 2 2 2 2 4 6 5 5" xfId="5779"/>
    <cellStyle name="Обычный 2 2 2 2 4 6 6" xfId="5780"/>
    <cellStyle name="Обычный 2 2 2 2 4 6 6 2" xfId="5781"/>
    <cellStyle name="Обычный 2 2 2 2 4 6 6 2 2" xfId="5782"/>
    <cellStyle name="Обычный 2 2 2 2 4 6 6 2 2 2" xfId="5783"/>
    <cellStyle name="Обычный 2 2 2 2 4 6 6 2 2 3" xfId="5784"/>
    <cellStyle name="Обычный 2 2 2 2 4 6 6 2 3" xfId="5785"/>
    <cellStyle name="Обычный 2 2 2 2 4 6 6 2 4" xfId="5786"/>
    <cellStyle name="Обычный 2 2 2 2 4 6 6 3" xfId="5787"/>
    <cellStyle name="Обычный 2 2 2 2 4 6 6 3 2" xfId="5788"/>
    <cellStyle name="Обычный 2 2 2 2 4 6 6 3 3" xfId="5789"/>
    <cellStyle name="Обычный 2 2 2 2 4 6 6 4" xfId="5790"/>
    <cellStyle name="Обычный 2 2 2 2 4 6 6 5" xfId="5791"/>
    <cellStyle name="Обычный 2 2 2 2 4 6 7" xfId="5792"/>
    <cellStyle name="Обычный 2 2 2 2 4 6 7 2" xfId="5793"/>
    <cellStyle name="Обычный 2 2 2 2 4 6 7 2 2" xfId="5794"/>
    <cellStyle name="Обычный 2 2 2 2 4 6 7 2 3" xfId="5795"/>
    <cellStyle name="Обычный 2 2 2 2 4 6 7 3" xfId="5796"/>
    <cellStyle name="Обычный 2 2 2 2 4 6 7 4" xfId="5797"/>
    <cellStyle name="Обычный 2 2 2 2 4 6 8" xfId="5798"/>
    <cellStyle name="Обычный 2 2 2 2 4 6 8 2" xfId="5799"/>
    <cellStyle name="Обычный 2 2 2 2 4 6 8 3" xfId="5800"/>
    <cellStyle name="Обычный 2 2 2 2 4 6 9" xfId="5801"/>
    <cellStyle name="Обычный 2 2 2 2 4 6_Расчет  30 млн_Технополис  Коренькова" xfId="5802"/>
    <cellStyle name="Обычный 2 2 2 2 4 7" xfId="5803"/>
    <cellStyle name="Обычный 2 2 2 2 4 7 2" xfId="5804"/>
    <cellStyle name="Обычный 2 2 2 2 4 7 2 2" xfId="5805"/>
    <cellStyle name="Обычный 2 2 2 2 4 7 2 2 2" xfId="5806"/>
    <cellStyle name="Обычный 2 2 2 2 4 7 2 2 3" xfId="5807"/>
    <cellStyle name="Обычный 2 2 2 2 4 7 2 3" xfId="5808"/>
    <cellStyle name="Обычный 2 2 2 2 4 7 2 4" xfId="5809"/>
    <cellStyle name="Обычный 2 2 2 2 4 7 3" xfId="5810"/>
    <cellStyle name="Обычный 2 2 2 2 4 7 3 2" xfId="5811"/>
    <cellStyle name="Обычный 2 2 2 2 4 7 3 3" xfId="5812"/>
    <cellStyle name="Обычный 2 2 2 2 4 7 4" xfId="5813"/>
    <cellStyle name="Обычный 2 2 2 2 4 7 5" xfId="5814"/>
    <cellStyle name="Обычный 2 2 2 2 4 8" xfId="5815"/>
    <cellStyle name="Обычный 2 2 2 2 4 8 2" xfId="5816"/>
    <cellStyle name="Обычный 2 2 2 2 4 8 2 2" xfId="5817"/>
    <cellStyle name="Обычный 2 2 2 2 4 8 2 2 2" xfId="5818"/>
    <cellStyle name="Обычный 2 2 2 2 4 8 2 2 3" xfId="5819"/>
    <cellStyle name="Обычный 2 2 2 2 4 8 2 3" xfId="5820"/>
    <cellStyle name="Обычный 2 2 2 2 4 8 2 4" xfId="5821"/>
    <cellStyle name="Обычный 2 2 2 2 4 8 3" xfId="5822"/>
    <cellStyle name="Обычный 2 2 2 2 4 8 3 2" xfId="5823"/>
    <cellStyle name="Обычный 2 2 2 2 4 8 3 3" xfId="5824"/>
    <cellStyle name="Обычный 2 2 2 2 4 8 4" xfId="5825"/>
    <cellStyle name="Обычный 2 2 2 2 4 8 5" xfId="5826"/>
    <cellStyle name="Обычный 2 2 2 2 4 9" xfId="5827"/>
    <cellStyle name="Обычный 2 2 2 2 4 9 2" xfId="5828"/>
    <cellStyle name="Обычный 2 2 2 2 4 9 2 2" xfId="5829"/>
    <cellStyle name="Обычный 2 2 2 2 4 9 2 2 2" xfId="5830"/>
    <cellStyle name="Обычный 2 2 2 2 4 9 2 2 3" xfId="5831"/>
    <cellStyle name="Обычный 2 2 2 2 4 9 2 3" xfId="5832"/>
    <cellStyle name="Обычный 2 2 2 2 4 9 2 4" xfId="5833"/>
    <cellStyle name="Обычный 2 2 2 2 4 9 3" xfId="5834"/>
    <cellStyle name="Обычный 2 2 2 2 4 9 3 2" xfId="5835"/>
    <cellStyle name="Обычный 2 2 2 2 4 9 3 3" xfId="5836"/>
    <cellStyle name="Обычный 2 2 2 2 4 9 4" xfId="5837"/>
    <cellStyle name="Обычный 2 2 2 2 4 9 5" xfId="5838"/>
    <cellStyle name="Обычный 2 2 2 2 4_1 ВАР. КП 1 293  +8пропорцЛара" xfId="5839"/>
    <cellStyle name="Обычный 2 2 2 2 5" xfId="5840"/>
    <cellStyle name="Обычный 2 2 2 2 5 10" xfId="5841"/>
    <cellStyle name="Обычный 2 2 2 2 5 10 2" xfId="5842"/>
    <cellStyle name="Обычный 2 2 2 2 5 10 2 2" xfId="5843"/>
    <cellStyle name="Обычный 2 2 2 2 5 10 2 3" xfId="5844"/>
    <cellStyle name="Обычный 2 2 2 2 5 10 3" xfId="5845"/>
    <cellStyle name="Обычный 2 2 2 2 5 10 4" xfId="5846"/>
    <cellStyle name="Обычный 2 2 2 2 5 11" xfId="5847"/>
    <cellStyle name="Обычный 2 2 2 2 5 11 2" xfId="5848"/>
    <cellStyle name="Обычный 2 2 2 2 5 11 3" xfId="5849"/>
    <cellStyle name="Обычный 2 2 2 2 5 12" xfId="5850"/>
    <cellStyle name="Обычный 2 2 2 2 5 13" xfId="5851"/>
    <cellStyle name="Обычный 2 2 2 2 5 2" xfId="5852"/>
    <cellStyle name="Обычный 2 2 2 2 5 2 10" xfId="5853"/>
    <cellStyle name="Обычный 2 2 2 2 5 2 2" xfId="5854"/>
    <cellStyle name="Обычный 2 2 2 2 5 2 2 2" xfId="5855"/>
    <cellStyle name="Обычный 2 2 2 2 5 2 2 2 2" xfId="5856"/>
    <cellStyle name="Обычный 2 2 2 2 5 2 2 2 2 2" xfId="5857"/>
    <cellStyle name="Обычный 2 2 2 2 5 2 2 2 2 3" xfId="5858"/>
    <cellStyle name="Обычный 2 2 2 2 5 2 2 2 3" xfId="5859"/>
    <cellStyle name="Обычный 2 2 2 2 5 2 2 2 4" xfId="5860"/>
    <cellStyle name="Обычный 2 2 2 2 5 2 2 3" xfId="5861"/>
    <cellStyle name="Обычный 2 2 2 2 5 2 2 3 2" xfId="5862"/>
    <cellStyle name="Обычный 2 2 2 2 5 2 2 3 3" xfId="5863"/>
    <cellStyle name="Обычный 2 2 2 2 5 2 2 4" xfId="5864"/>
    <cellStyle name="Обычный 2 2 2 2 5 2 2 5" xfId="5865"/>
    <cellStyle name="Обычный 2 2 2 2 5 2 3" xfId="5866"/>
    <cellStyle name="Обычный 2 2 2 2 5 2 3 2" xfId="5867"/>
    <cellStyle name="Обычный 2 2 2 2 5 2 3 2 2" xfId="5868"/>
    <cellStyle name="Обычный 2 2 2 2 5 2 3 2 2 2" xfId="5869"/>
    <cellStyle name="Обычный 2 2 2 2 5 2 3 2 2 3" xfId="5870"/>
    <cellStyle name="Обычный 2 2 2 2 5 2 3 2 3" xfId="5871"/>
    <cellStyle name="Обычный 2 2 2 2 5 2 3 2 4" xfId="5872"/>
    <cellStyle name="Обычный 2 2 2 2 5 2 3 3" xfId="5873"/>
    <cellStyle name="Обычный 2 2 2 2 5 2 3 3 2" xfId="5874"/>
    <cellStyle name="Обычный 2 2 2 2 5 2 3 3 3" xfId="5875"/>
    <cellStyle name="Обычный 2 2 2 2 5 2 3 4" xfId="5876"/>
    <cellStyle name="Обычный 2 2 2 2 5 2 3 5" xfId="5877"/>
    <cellStyle name="Обычный 2 2 2 2 5 2 4" xfId="5878"/>
    <cellStyle name="Обычный 2 2 2 2 5 2 4 2" xfId="5879"/>
    <cellStyle name="Обычный 2 2 2 2 5 2 4 2 2" xfId="5880"/>
    <cellStyle name="Обычный 2 2 2 2 5 2 4 2 2 2" xfId="5881"/>
    <cellStyle name="Обычный 2 2 2 2 5 2 4 2 2 3" xfId="5882"/>
    <cellStyle name="Обычный 2 2 2 2 5 2 4 2 3" xfId="5883"/>
    <cellStyle name="Обычный 2 2 2 2 5 2 4 2 4" xfId="5884"/>
    <cellStyle name="Обычный 2 2 2 2 5 2 4 3" xfId="5885"/>
    <cellStyle name="Обычный 2 2 2 2 5 2 4 3 2" xfId="5886"/>
    <cellStyle name="Обычный 2 2 2 2 5 2 4 3 3" xfId="5887"/>
    <cellStyle name="Обычный 2 2 2 2 5 2 4 4" xfId="5888"/>
    <cellStyle name="Обычный 2 2 2 2 5 2 4 5" xfId="5889"/>
    <cellStyle name="Обычный 2 2 2 2 5 2 5" xfId="5890"/>
    <cellStyle name="Обычный 2 2 2 2 5 2 5 2" xfId="5891"/>
    <cellStyle name="Обычный 2 2 2 2 5 2 5 2 2" xfId="5892"/>
    <cellStyle name="Обычный 2 2 2 2 5 2 5 2 2 2" xfId="5893"/>
    <cellStyle name="Обычный 2 2 2 2 5 2 5 2 2 3" xfId="5894"/>
    <cellStyle name="Обычный 2 2 2 2 5 2 5 2 3" xfId="5895"/>
    <cellStyle name="Обычный 2 2 2 2 5 2 5 2 4" xfId="5896"/>
    <cellStyle name="Обычный 2 2 2 2 5 2 5 3" xfId="5897"/>
    <cellStyle name="Обычный 2 2 2 2 5 2 5 3 2" xfId="5898"/>
    <cellStyle name="Обычный 2 2 2 2 5 2 5 3 3" xfId="5899"/>
    <cellStyle name="Обычный 2 2 2 2 5 2 5 4" xfId="5900"/>
    <cellStyle name="Обычный 2 2 2 2 5 2 5 5" xfId="5901"/>
    <cellStyle name="Обычный 2 2 2 2 5 2 6" xfId="5902"/>
    <cellStyle name="Обычный 2 2 2 2 5 2 6 2" xfId="5903"/>
    <cellStyle name="Обычный 2 2 2 2 5 2 6 2 2" xfId="5904"/>
    <cellStyle name="Обычный 2 2 2 2 5 2 6 2 2 2" xfId="5905"/>
    <cellStyle name="Обычный 2 2 2 2 5 2 6 2 2 3" xfId="5906"/>
    <cellStyle name="Обычный 2 2 2 2 5 2 6 2 3" xfId="5907"/>
    <cellStyle name="Обычный 2 2 2 2 5 2 6 2 4" xfId="5908"/>
    <cellStyle name="Обычный 2 2 2 2 5 2 6 3" xfId="5909"/>
    <cellStyle name="Обычный 2 2 2 2 5 2 6 3 2" xfId="5910"/>
    <cellStyle name="Обычный 2 2 2 2 5 2 6 3 3" xfId="5911"/>
    <cellStyle name="Обычный 2 2 2 2 5 2 6 4" xfId="5912"/>
    <cellStyle name="Обычный 2 2 2 2 5 2 6 5" xfId="5913"/>
    <cellStyle name="Обычный 2 2 2 2 5 2 7" xfId="5914"/>
    <cellStyle name="Обычный 2 2 2 2 5 2 7 2" xfId="5915"/>
    <cellStyle name="Обычный 2 2 2 2 5 2 7 2 2" xfId="5916"/>
    <cellStyle name="Обычный 2 2 2 2 5 2 7 2 3" xfId="5917"/>
    <cellStyle name="Обычный 2 2 2 2 5 2 7 3" xfId="5918"/>
    <cellStyle name="Обычный 2 2 2 2 5 2 7 4" xfId="5919"/>
    <cellStyle name="Обычный 2 2 2 2 5 2 8" xfId="5920"/>
    <cellStyle name="Обычный 2 2 2 2 5 2 8 2" xfId="5921"/>
    <cellStyle name="Обычный 2 2 2 2 5 2 8 3" xfId="5922"/>
    <cellStyle name="Обычный 2 2 2 2 5 2 9" xfId="5923"/>
    <cellStyle name="Обычный 2 2 2 2 5 2_Расчет  30 млн_Технополис  Коренькова" xfId="5924"/>
    <cellStyle name="Обычный 2 2 2 2 5 3" xfId="5925"/>
    <cellStyle name="Обычный 2 2 2 2 5 3 10" xfId="5926"/>
    <cellStyle name="Обычный 2 2 2 2 5 3 2" xfId="5927"/>
    <cellStyle name="Обычный 2 2 2 2 5 3 2 2" xfId="5928"/>
    <cellStyle name="Обычный 2 2 2 2 5 3 2 2 2" xfId="5929"/>
    <cellStyle name="Обычный 2 2 2 2 5 3 2 2 2 2" xfId="5930"/>
    <cellStyle name="Обычный 2 2 2 2 5 3 2 2 2 3" xfId="5931"/>
    <cellStyle name="Обычный 2 2 2 2 5 3 2 2 3" xfId="5932"/>
    <cellStyle name="Обычный 2 2 2 2 5 3 2 2 4" xfId="5933"/>
    <cellStyle name="Обычный 2 2 2 2 5 3 2 3" xfId="5934"/>
    <cellStyle name="Обычный 2 2 2 2 5 3 2 3 2" xfId="5935"/>
    <cellStyle name="Обычный 2 2 2 2 5 3 2 3 3" xfId="5936"/>
    <cellStyle name="Обычный 2 2 2 2 5 3 2 4" xfId="5937"/>
    <cellStyle name="Обычный 2 2 2 2 5 3 2 5" xfId="5938"/>
    <cellStyle name="Обычный 2 2 2 2 5 3 3" xfId="5939"/>
    <cellStyle name="Обычный 2 2 2 2 5 3 3 2" xfId="5940"/>
    <cellStyle name="Обычный 2 2 2 2 5 3 3 2 2" xfId="5941"/>
    <cellStyle name="Обычный 2 2 2 2 5 3 3 2 2 2" xfId="5942"/>
    <cellStyle name="Обычный 2 2 2 2 5 3 3 2 2 3" xfId="5943"/>
    <cellStyle name="Обычный 2 2 2 2 5 3 3 2 3" xfId="5944"/>
    <cellStyle name="Обычный 2 2 2 2 5 3 3 2 4" xfId="5945"/>
    <cellStyle name="Обычный 2 2 2 2 5 3 3 3" xfId="5946"/>
    <cellStyle name="Обычный 2 2 2 2 5 3 3 3 2" xfId="5947"/>
    <cellStyle name="Обычный 2 2 2 2 5 3 3 3 3" xfId="5948"/>
    <cellStyle name="Обычный 2 2 2 2 5 3 3 4" xfId="5949"/>
    <cellStyle name="Обычный 2 2 2 2 5 3 3 5" xfId="5950"/>
    <cellStyle name="Обычный 2 2 2 2 5 3 4" xfId="5951"/>
    <cellStyle name="Обычный 2 2 2 2 5 3 4 2" xfId="5952"/>
    <cellStyle name="Обычный 2 2 2 2 5 3 4 2 2" xfId="5953"/>
    <cellStyle name="Обычный 2 2 2 2 5 3 4 2 2 2" xfId="5954"/>
    <cellStyle name="Обычный 2 2 2 2 5 3 4 2 2 3" xfId="5955"/>
    <cellStyle name="Обычный 2 2 2 2 5 3 4 2 3" xfId="5956"/>
    <cellStyle name="Обычный 2 2 2 2 5 3 4 2 4" xfId="5957"/>
    <cellStyle name="Обычный 2 2 2 2 5 3 4 3" xfId="5958"/>
    <cellStyle name="Обычный 2 2 2 2 5 3 4 3 2" xfId="5959"/>
    <cellStyle name="Обычный 2 2 2 2 5 3 4 3 3" xfId="5960"/>
    <cellStyle name="Обычный 2 2 2 2 5 3 4 4" xfId="5961"/>
    <cellStyle name="Обычный 2 2 2 2 5 3 4 5" xfId="5962"/>
    <cellStyle name="Обычный 2 2 2 2 5 3 5" xfId="5963"/>
    <cellStyle name="Обычный 2 2 2 2 5 3 5 2" xfId="5964"/>
    <cellStyle name="Обычный 2 2 2 2 5 3 5 2 2" xfId="5965"/>
    <cellStyle name="Обычный 2 2 2 2 5 3 5 2 2 2" xfId="5966"/>
    <cellStyle name="Обычный 2 2 2 2 5 3 5 2 2 3" xfId="5967"/>
    <cellStyle name="Обычный 2 2 2 2 5 3 5 2 3" xfId="5968"/>
    <cellStyle name="Обычный 2 2 2 2 5 3 5 2 4" xfId="5969"/>
    <cellStyle name="Обычный 2 2 2 2 5 3 5 3" xfId="5970"/>
    <cellStyle name="Обычный 2 2 2 2 5 3 5 3 2" xfId="5971"/>
    <cellStyle name="Обычный 2 2 2 2 5 3 5 3 3" xfId="5972"/>
    <cellStyle name="Обычный 2 2 2 2 5 3 5 4" xfId="5973"/>
    <cellStyle name="Обычный 2 2 2 2 5 3 5 5" xfId="5974"/>
    <cellStyle name="Обычный 2 2 2 2 5 3 6" xfId="5975"/>
    <cellStyle name="Обычный 2 2 2 2 5 3 6 2" xfId="5976"/>
    <cellStyle name="Обычный 2 2 2 2 5 3 6 2 2" xfId="5977"/>
    <cellStyle name="Обычный 2 2 2 2 5 3 6 2 2 2" xfId="5978"/>
    <cellStyle name="Обычный 2 2 2 2 5 3 6 2 2 3" xfId="5979"/>
    <cellStyle name="Обычный 2 2 2 2 5 3 6 2 3" xfId="5980"/>
    <cellStyle name="Обычный 2 2 2 2 5 3 6 2 4" xfId="5981"/>
    <cellStyle name="Обычный 2 2 2 2 5 3 6 3" xfId="5982"/>
    <cellStyle name="Обычный 2 2 2 2 5 3 6 3 2" xfId="5983"/>
    <cellStyle name="Обычный 2 2 2 2 5 3 6 3 3" xfId="5984"/>
    <cellStyle name="Обычный 2 2 2 2 5 3 6 4" xfId="5985"/>
    <cellStyle name="Обычный 2 2 2 2 5 3 6 5" xfId="5986"/>
    <cellStyle name="Обычный 2 2 2 2 5 3 7" xfId="5987"/>
    <cellStyle name="Обычный 2 2 2 2 5 3 7 2" xfId="5988"/>
    <cellStyle name="Обычный 2 2 2 2 5 3 7 2 2" xfId="5989"/>
    <cellStyle name="Обычный 2 2 2 2 5 3 7 2 3" xfId="5990"/>
    <cellStyle name="Обычный 2 2 2 2 5 3 7 3" xfId="5991"/>
    <cellStyle name="Обычный 2 2 2 2 5 3 7 4" xfId="5992"/>
    <cellStyle name="Обычный 2 2 2 2 5 3 8" xfId="5993"/>
    <cellStyle name="Обычный 2 2 2 2 5 3 8 2" xfId="5994"/>
    <cellStyle name="Обычный 2 2 2 2 5 3 8 3" xfId="5995"/>
    <cellStyle name="Обычный 2 2 2 2 5 3 9" xfId="5996"/>
    <cellStyle name="Обычный 2 2 2 2 5 3_Расчет  30 млн_Технополис  Коренькова" xfId="5997"/>
    <cellStyle name="Обычный 2 2 2 2 5 4" xfId="5998"/>
    <cellStyle name="Обычный 2 2 2 2 5 5" xfId="5999"/>
    <cellStyle name="Обычный 2 2 2 2 5 5 2" xfId="6000"/>
    <cellStyle name="Обычный 2 2 2 2 5 5 2 2" xfId="6001"/>
    <cellStyle name="Обычный 2 2 2 2 5 5 2 2 2" xfId="6002"/>
    <cellStyle name="Обычный 2 2 2 2 5 5 2 2 3" xfId="6003"/>
    <cellStyle name="Обычный 2 2 2 2 5 5 2 3" xfId="6004"/>
    <cellStyle name="Обычный 2 2 2 2 5 5 2 4" xfId="6005"/>
    <cellStyle name="Обычный 2 2 2 2 5 5 3" xfId="6006"/>
    <cellStyle name="Обычный 2 2 2 2 5 5 3 2" xfId="6007"/>
    <cellStyle name="Обычный 2 2 2 2 5 5 3 3" xfId="6008"/>
    <cellStyle name="Обычный 2 2 2 2 5 5 4" xfId="6009"/>
    <cellStyle name="Обычный 2 2 2 2 5 5 5" xfId="6010"/>
    <cellStyle name="Обычный 2 2 2 2 5 6" xfId="6011"/>
    <cellStyle name="Обычный 2 2 2 2 5 6 2" xfId="6012"/>
    <cellStyle name="Обычный 2 2 2 2 5 6 2 2" xfId="6013"/>
    <cellStyle name="Обычный 2 2 2 2 5 6 2 2 2" xfId="6014"/>
    <cellStyle name="Обычный 2 2 2 2 5 6 2 2 3" xfId="6015"/>
    <cellStyle name="Обычный 2 2 2 2 5 6 2 3" xfId="6016"/>
    <cellStyle name="Обычный 2 2 2 2 5 6 2 4" xfId="6017"/>
    <cellStyle name="Обычный 2 2 2 2 5 6 3" xfId="6018"/>
    <cellStyle name="Обычный 2 2 2 2 5 6 3 2" xfId="6019"/>
    <cellStyle name="Обычный 2 2 2 2 5 6 3 3" xfId="6020"/>
    <cellStyle name="Обычный 2 2 2 2 5 6 4" xfId="6021"/>
    <cellStyle name="Обычный 2 2 2 2 5 6 5" xfId="6022"/>
    <cellStyle name="Обычный 2 2 2 2 5 7" xfId="6023"/>
    <cellStyle name="Обычный 2 2 2 2 5 7 2" xfId="6024"/>
    <cellStyle name="Обычный 2 2 2 2 5 7 2 2" xfId="6025"/>
    <cellStyle name="Обычный 2 2 2 2 5 7 2 2 2" xfId="6026"/>
    <cellStyle name="Обычный 2 2 2 2 5 7 2 2 3" xfId="6027"/>
    <cellStyle name="Обычный 2 2 2 2 5 7 2 3" xfId="6028"/>
    <cellStyle name="Обычный 2 2 2 2 5 7 2 4" xfId="6029"/>
    <cellStyle name="Обычный 2 2 2 2 5 7 3" xfId="6030"/>
    <cellStyle name="Обычный 2 2 2 2 5 7 3 2" xfId="6031"/>
    <cellStyle name="Обычный 2 2 2 2 5 7 3 3" xfId="6032"/>
    <cellStyle name="Обычный 2 2 2 2 5 7 4" xfId="6033"/>
    <cellStyle name="Обычный 2 2 2 2 5 7 5" xfId="6034"/>
    <cellStyle name="Обычный 2 2 2 2 5 8" xfId="6035"/>
    <cellStyle name="Обычный 2 2 2 2 5 8 2" xfId="6036"/>
    <cellStyle name="Обычный 2 2 2 2 5 8 2 2" xfId="6037"/>
    <cellStyle name="Обычный 2 2 2 2 5 8 2 2 2" xfId="6038"/>
    <cellStyle name="Обычный 2 2 2 2 5 8 2 2 3" xfId="6039"/>
    <cellStyle name="Обычный 2 2 2 2 5 8 2 3" xfId="6040"/>
    <cellStyle name="Обычный 2 2 2 2 5 8 2 4" xfId="6041"/>
    <cellStyle name="Обычный 2 2 2 2 5 8 3" xfId="6042"/>
    <cellStyle name="Обычный 2 2 2 2 5 8 3 2" xfId="6043"/>
    <cellStyle name="Обычный 2 2 2 2 5 8 3 3" xfId="6044"/>
    <cellStyle name="Обычный 2 2 2 2 5 8 4" xfId="6045"/>
    <cellStyle name="Обычный 2 2 2 2 5 8 5" xfId="6046"/>
    <cellStyle name="Обычный 2 2 2 2 5 9" xfId="6047"/>
    <cellStyle name="Обычный 2 2 2 2 5 9 2" xfId="6048"/>
    <cellStyle name="Обычный 2 2 2 2 5 9 2 2" xfId="6049"/>
    <cellStyle name="Обычный 2 2 2 2 5 9 2 2 2" xfId="6050"/>
    <cellStyle name="Обычный 2 2 2 2 5 9 2 2 3" xfId="6051"/>
    <cellStyle name="Обычный 2 2 2 2 5 9 2 3" xfId="6052"/>
    <cellStyle name="Обычный 2 2 2 2 5 9 2 4" xfId="6053"/>
    <cellStyle name="Обычный 2 2 2 2 5 9 3" xfId="6054"/>
    <cellStyle name="Обычный 2 2 2 2 5 9 3 2" xfId="6055"/>
    <cellStyle name="Обычный 2 2 2 2 5 9 3 3" xfId="6056"/>
    <cellStyle name="Обычный 2 2 2 2 5 9 4" xfId="6057"/>
    <cellStyle name="Обычный 2 2 2 2 5 9 5" xfId="6058"/>
    <cellStyle name="Обычный 2 2 2 2 5_1 ВАР. КП 1 293  +8пропорцЛара" xfId="6059"/>
    <cellStyle name="Обычный 2 2 2 2 6" xfId="6060"/>
    <cellStyle name="Обычный 2 2 2 2 7" xfId="6061"/>
    <cellStyle name="Обычный 2 2 2 2 7 10" xfId="6062"/>
    <cellStyle name="Обычный 2 2 2 2 7 2" xfId="6063"/>
    <cellStyle name="Обычный 2 2 2 2 7 2 2" xfId="6064"/>
    <cellStyle name="Обычный 2 2 2 2 7 2 2 2" xfId="6065"/>
    <cellStyle name="Обычный 2 2 2 2 7 2 2 2 2" xfId="6066"/>
    <cellStyle name="Обычный 2 2 2 2 7 2 2 2 3" xfId="6067"/>
    <cellStyle name="Обычный 2 2 2 2 7 2 2 3" xfId="6068"/>
    <cellStyle name="Обычный 2 2 2 2 7 2 2 4" xfId="6069"/>
    <cellStyle name="Обычный 2 2 2 2 7 2 3" xfId="6070"/>
    <cellStyle name="Обычный 2 2 2 2 7 2 3 2" xfId="6071"/>
    <cellStyle name="Обычный 2 2 2 2 7 2 3 3" xfId="6072"/>
    <cellStyle name="Обычный 2 2 2 2 7 2 4" xfId="6073"/>
    <cellStyle name="Обычный 2 2 2 2 7 2 5" xfId="6074"/>
    <cellStyle name="Обычный 2 2 2 2 7 3" xfId="6075"/>
    <cellStyle name="Обычный 2 2 2 2 7 3 2" xfId="6076"/>
    <cellStyle name="Обычный 2 2 2 2 7 3 2 2" xfId="6077"/>
    <cellStyle name="Обычный 2 2 2 2 7 3 2 2 2" xfId="6078"/>
    <cellStyle name="Обычный 2 2 2 2 7 3 2 2 3" xfId="6079"/>
    <cellStyle name="Обычный 2 2 2 2 7 3 2 3" xfId="6080"/>
    <cellStyle name="Обычный 2 2 2 2 7 3 2 4" xfId="6081"/>
    <cellStyle name="Обычный 2 2 2 2 7 3 3" xfId="6082"/>
    <cellStyle name="Обычный 2 2 2 2 7 3 3 2" xfId="6083"/>
    <cellStyle name="Обычный 2 2 2 2 7 3 3 3" xfId="6084"/>
    <cellStyle name="Обычный 2 2 2 2 7 3 4" xfId="6085"/>
    <cellStyle name="Обычный 2 2 2 2 7 3 5" xfId="6086"/>
    <cellStyle name="Обычный 2 2 2 2 7 4" xfId="6087"/>
    <cellStyle name="Обычный 2 2 2 2 7 4 2" xfId="6088"/>
    <cellStyle name="Обычный 2 2 2 2 7 4 2 2" xfId="6089"/>
    <cellStyle name="Обычный 2 2 2 2 7 4 2 2 2" xfId="6090"/>
    <cellStyle name="Обычный 2 2 2 2 7 4 2 2 3" xfId="6091"/>
    <cellStyle name="Обычный 2 2 2 2 7 4 2 3" xfId="6092"/>
    <cellStyle name="Обычный 2 2 2 2 7 4 2 4" xfId="6093"/>
    <cellStyle name="Обычный 2 2 2 2 7 4 3" xfId="6094"/>
    <cellStyle name="Обычный 2 2 2 2 7 4 3 2" xfId="6095"/>
    <cellStyle name="Обычный 2 2 2 2 7 4 3 3" xfId="6096"/>
    <cellStyle name="Обычный 2 2 2 2 7 4 4" xfId="6097"/>
    <cellStyle name="Обычный 2 2 2 2 7 4 5" xfId="6098"/>
    <cellStyle name="Обычный 2 2 2 2 7 5" xfId="6099"/>
    <cellStyle name="Обычный 2 2 2 2 7 5 2" xfId="6100"/>
    <cellStyle name="Обычный 2 2 2 2 7 5 2 2" xfId="6101"/>
    <cellStyle name="Обычный 2 2 2 2 7 5 2 2 2" xfId="6102"/>
    <cellStyle name="Обычный 2 2 2 2 7 5 2 2 3" xfId="6103"/>
    <cellStyle name="Обычный 2 2 2 2 7 5 2 3" xfId="6104"/>
    <cellStyle name="Обычный 2 2 2 2 7 5 2 4" xfId="6105"/>
    <cellStyle name="Обычный 2 2 2 2 7 5 3" xfId="6106"/>
    <cellStyle name="Обычный 2 2 2 2 7 5 3 2" xfId="6107"/>
    <cellStyle name="Обычный 2 2 2 2 7 5 3 3" xfId="6108"/>
    <cellStyle name="Обычный 2 2 2 2 7 5 4" xfId="6109"/>
    <cellStyle name="Обычный 2 2 2 2 7 5 5" xfId="6110"/>
    <cellStyle name="Обычный 2 2 2 2 7 6" xfId="6111"/>
    <cellStyle name="Обычный 2 2 2 2 7 6 2" xfId="6112"/>
    <cellStyle name="Обычный 2 2 2 2 7 6 2 2" xfId="6113"/>
    <cellStyle name="Обычный 2 2 2 2 7 6 2 2 2" xfId="6114"/>
    <cellStyle name="Обычный 2 2 2 2 7 6 2 2 3" xfId="6115"/>
    <cellStyle name="Обычный 2 2 2 2 7 6 2 3" xfId="6116"/>
    <cellStyle name="Обычный 2 2 2 2 7 6 2 4" xfId="6117"/>
    <cellStyle name="Обычный 2 2 2 2 7 6 3" xfId="6118"/>
    <cellStyle name="Обычный 2 2 2 2 7 6 3 2" xfId="6119"/>
    <cellStyle name="Обычный 2 2 2 2 7 6 3 3" xfId="6120"/>
    <cellStyle name="Обычный 2 2 2 2 7 6 4" xfId="6121"/>
    <cellStyle name="Обычный 2 2 2 2 7 6 5" xfId="6122"/>
    <cellStyle name="Обычный 2 2 2 2 7 7" xfId="6123"/>
    <cellStyle name="Обычный 2 2 2 2 7 7 2" xfId="6124"/>
    <cellStyle name="Обычный 2 2 2 2 7 7 2 2" xfId="6125"/>
    <cellStyle name="Обычный 2 2 2 2 7 7 2 3" xfId="6126"/>
    <cellStyle name="Обычный 2 2 2 2 7 7 3" xfId="6127"/>
    <cellStyle name="Обычный 2 2 2 2 7 7 4" xfId="6128"/>
    <cellStyle name="Обычный 2 2 2 2 7 8" xfId="6129"/>
    <cellStyle name="Обычный 2 2 2 2 7 8 2" xfId="6130"/>
    <cellStyle name="Обычный 2 2 2 2 7 8 3" xfId="6131"/>
    <cellStyle name="Обычный 2 2 2 2 7 9" xfId="6132"/>
    <cellStyle name="Обычный 2 2 2 2 7_Расчет  30 млн_Технополис  Коренькова" xfId="6133"/>
    <cellStyle name="Обычный 2 2 2 2 8" xfId="6134"/>
    <cellStyle name="Обычный 2 2 2 2 8 10" xfId="6135"/>
    <cellStyle name="Обычный 2 2 2 2 8 2" xfId="6136"/>
    <cellStyle name="Обычный 2 2 2 2 8 2 2" xfId="6137"/>
    <cellStyle name="Обычный 2 2 2 2 8 2 2 2" xfId="6138"/>
    <cellStyle name="Обычный 2 2 2 2 8 2 2 2 2" xfId="6139"/>
    <cellStyle name="Обычный 2 2 2 2 8 2 2 2 3" xfId="6140"/>
    <cellStyle name="Обычный 2 2 2 2 8 2 2 3" xfId="6141"/>
    <cellStyle name="Обычный 2 2 2 2 8 2 2 4" xfId="6142"/>
    <cellStyle name="Обычный 2 2 2 2 8 2 3" xfId="6143"/>
    <cellStyle name="Обычный 2 2 2 2 8 2 3 2" xfId="6144"/>
    <cellStyle name="Обычный 2 2 2 2 8 2 3 3" xfId="6145"/>
    <cellStyle name="Обычный 2 2 2 2 8 2 4" xfId="6146"/>
    <cellStyle name="Обычный 2 2 2 2 8 2 5" xfId="6147"/>
    <cellStyle name="Обычный 2 2 2 2 8 3" xfId="6148"/>
    <cellStyle name="Обычный 2 2 2 2 8 3 2" xfId="6149"/>
    <cellStyle name="Обычный 2 2 2 2 8 3 2 2" xfId="6150"/>
    <cellStyle name="Обычный 2 2 2 2 8 3 2 2 2" xfId="6151"/>
    <cellStyle name="Обычный 2 2 2 2 8 3 2 2 3" xfId="6152"/>
    <cellStyle name="Обычный 2 2 2 2 8 3 2 3" xfId="6153"/>
    <cellStyle name="Обычный 2 2 2 2 8 3 2 4" xfId="6154"/>
    <cellStyle name="Обычный 2 2 2 2 8 3 3" xfId="6155"/>
    <cellStyle name="Обычный 2 2 2 2 8 3 3 2" xfId="6156"/>
    <cellStyle name="Обычный 2 2 2 2 8 3 3 3" xfId="6157"/>
    <cellStyle name="Обычный 2 2 2 2 8 3 4" xfId="6158"/>
    <cellStyle name="Обычный 2 2 2 2 8 3 5" xfId="6159"/>
    <cellStyle name="Обычный 2 2 2 2 8 4" xfId="6160"/>
    <cellStyle name="Обычный 2 2 2 2 8 4 2" xfId="6161"/>
    <cellStyle name="Обычный 2 2 2 2 8 4 2 2" xfId="6162"/>
    <cellStyle name="Обычный 2 2 2 2 8 4 2 2 2" xfId="6163"/>
    <cellStyle name="Обычный 2 2 2 2 8 4 2 2 3" xfId="6164"/>
    <cellStyle name="Обычный 2 2 2 2 8 4 2 3" xfId="6165"/>
    <cellStyle name="Обычный 2 2 2 2 8 4 2 4" xfId="6166"/>
    <cellStyle name="Обычный 2 2 2 2 8 4 3" xfId="6167"/>
    <cellStyle name="Обычный 2 2 2 2 8 4 3 2" xfId="6168"/>
    <cellStyle name="Обычный 2 2 2 2 8 4 3 3" xfId="6169"/>
    <cellStyle name="Обычный 2 2 2 2 8 4 4" xfId="6170"/>
    <cellStyle name="Обычный 2 2 2 2 8 4 5" xfId="6171"/>
    <cellStyle name="Обычный 2 2 2 2 8 5" xfId="6172"/>
    <cellStyle name="Обычный 2 2 2 2 8 5 2" xfId="6173"/>
    <cellStyle name="Обычный 2 2 2 2 8 5 2 2" xfId="6174"/>
    <cellStyle name="Обычный 2 2 2 2 8 5 2 2 2" xfId="6175"/>
    <cellStyle name="Обычный 2 2 2 2 8 5 2 2 3" xfId="6176"/>
    <cellStyle name="Обычный 2 2 2 2 8 5 2 3" xfId="6177"/>
    <cellStyle name="Обычный 2 2 2 2 8 5 2 4" xfId="6178"/>
    <cellStyle name="Обычный 2 2 2 2 8 5 3" xfId="6179"/>
    <cellStyle name="Обычный 2 2 2 2 8 5 3 2" xfId="6180"/>
    <cellStyle name="Обычный 2 2 2 2 8 5 3 3" xfId="6181"/>
    <cellStyle name="Обычный 2 2 2 2 8 5 4" xfId="6182"/>
    <cellStyle name="Обычный 2 2 2 2 8 5 5" xfId="6183"/>
    <cellStyle name="Обычный 2 2 2 2 8 6" xfId="6184"/>
    <cellStyle name="Обычный 2 2 2 2 8 6 2" xfId="6185"/>
    <cellStyle name="Обычный 2 2 2 2 8 6 2 2" xfId="6186"/>
    <cellStyle name="Обычный 2 2 2 2 8 6 2 2 2" xfId="6187"/>
    <cellStyle name="Обычный 2 2 2 2 8 6 2 2 3" xfId="6188"/>
    <cellStyle name="Обычный 2 2 2 2 8 6 2 3" xfId="6189"/>
    <cellStyle name="Обычный 2 2 2 2 8 6 2 4" xfId="6190"/>
    <cellStyle name="Обычный 2 2 2 2 8 6 3" xfId="6191"/>
    <cellStyle name="Обычный 2 2 2 2 8 6 3 2" xfId="6192"/>
    <cellStyle name="Обычный 2 2 2 2 8 6 3 3" xfId="6193"/>
    <cellStyle name="Обычный 2 2 2 2 8 6 4" xfId="6194"/>
    <cellStyle name="Обычный 2 2 2 2 8 6 5" xfId="6195"/>
    <cellStyle name="Обычный 2 2 2 2 8 7" xfId="6196"/>
    <cellStyle name="Обычный 2 2 2 2 8 7 2" xfId="6197"/>
    <cellStyle name="Обычный 2 2 2 2 8 7 2 2" xfId="6198"/>
    <cellStyle name="Обычный 2 2 2 2 8 7 2 3" xfId="6199"/>
    <cellStyle name="Обычный 2 2 2 2 8 7 3" xfId="6200"/>
    <cellStyle name="Обычный 2 2 2 2 8 7 4" xfId="6201"/>
    <cellStyle name="Обычный 2 2 2 2 8 8" xfId="6202"/>
    <cellStyle name="Обычный 2 2 2 2 8 8 2" xfId="6203"/>
    <cellStyle name="Обычный 2 2 2 2 8 8 3" xfId="6204"/>
    <cellStyle name="Обычный 2 2 2 2 8 9" xfId="6205"/>
    <cellStyle name="Обычный 2 2 2 2 8_Расчет  30 млн_Технополис  Коренькова" xfId="6206"/>
    <cellStyle name="Обычный 2 2 2 2 9" xfId="6207"/>
    <cellStyle name="Обычный 2 2 2 2 9 10" xfId="6208"/>
    <cellStyle name="Обычный 2 2 2 2 9 2" xfId="6209"/>
    <cellStyle name="Обычный 2 2 2 2 9 2 2" xfId="6210"/>
    <cellStyle name="Обычный 2 2 2 2 9 2 2 2" xfId="6211"/>
    <cellStyle name="Обычный 2 2 2 2 9 2 2 2 2" xfId="6212"/>
    <cellStyle name="Обычный 2 2 2 2 9 2 2 2 3" xfId="6213"/>
    <cellStyle name="Обычный 2 2 2 2 9 2 2 3" xfId="6214"/>
    <cellStyle name="Обычный 2 2 2 2 9 2 2 4" xfId="6215"/>
    <cellStyle name="Обычный 2 2 2 2 9 2 3" xfId="6216"/>
    <cellStyle name="Обычный 2 2 2 2 9 2 3 2" xfId="6217"/>
    <cellStyle name="Обычный 2 2 2 2 9 2 3 3" xfId="6218"/>
    <cellStyle name="Обычный 2 2 2 2 9 2 4" xfId="6219"/>
    <cellStyle name="Обычный 2 2 2 2 9 2 5" xfId="6220"/>
    <cellStyle name="Обычный 2 2 2 2 9 3" xfId="6221"/>
    <cellStyle name="Обычный 2 2 2 2 9 3 2" xfId="6222"/>
    <cellStyle name="Обычный 2 2 2 2 9 3 2 2" xfId="6223"/>
    <cellStyle name="Обычный 2 2 2 2 9 3 2 2 2" xfId="6224"/>
    <cellStyle name="Обычный 2 2 2 2 9 3 2 2 3" xfId="6225"/>
    <cellStyle name="Обычный 2 2 2 2 9 3 2 3" xfId="6226"/>
    <cellStyle name="Обычный 2 2 2 2 9 3 2 4" xfId="6227"/>
    <cellStyle name="Обычный 2 2 2 2 9 3 3" xfId="6228"/>
    <cellStyle name="Обычный 2 2 2 2 9 3 3 2" xfId="6229"/>
    <cellStyle name="Обычный 2 2 2 2 9 3 3 3" xfId="6230"/>
    <cellStyle name="Обычный 2 2 2 2 9 3 4" xfId="6231"/>
    <cellStyle name="Обычный 2 2 2 2 9 3 5" xfId="6232"/>
    <cellStyle name="Обычный 2 2 2 2 9 4" xfId="6233"/>
    <cellStyle name="Обычный 2 2 2 2 9 4 2" xfId="6234"/>
    <cellStyle name="Обычный 2 2 2 2 9 4 2 2" xfId="6235"/>
    <cellStyle name="Обычный 2 2 2 2 9 4 2 2 2" xfId="6236"/>
    <cellStyle name="Обычный 2 2 2 2 9 4 2 2 3" xfId="6237"/>
    <cellStyle name="Обычный 2 2 2 2 9 4 2 3" xfId="6238"/>
    <cellStyle name="Обычный 2 2 2 2 9 4 2 4" xfId="6239"/>
    <cellStyle name="Обычный 2 2 2 2 9 4 3" xfId="6240"/>
    <cellStyle name="Обычный 2 2 2 2 9 4 3 2" xfId="6241"/>
    <cellStyle name="Обычный 2 2 2 2 9 4 3 3" xfId="6242"/>
    <cellStyle name="Обычный 2 2 2 2 9 4 4" xfId="6243"/>
    <cellStyle name="Обычный 2 2 2 2 9 4 5" xfId="6244"/>
    <cellStyle name="Обычный 2 2 2 2 9 5" xfId="6245"/>
    <cellStyle name="Обычный 2 2 2 2 9 5 2" xfId="6246"/>
    <cellStyle name="Обычный 2 2 2 2 9 5 2 2" xfId="6247"/>
    <cellStyle name="Обычный 2 2 2 2 9 5 2 2 2" xfId="6248"/>
    <cellStyle name="Обычный 2 2 2 2 9 5 2 2 3" xfId="6249"/>
    <cellStyle name="Обычный 2 2 2 2 9 5 2 3" xfId="6250"/>
    <cellStyle name="Обычный 2 2 2 2 9 5 2 4" xfId="6251"/>
    <cellStyle name="Обычный 2 2 2 2 9 5 3" xfId="6252"/>
    <cellStyle name="Обычный 2 2 2 2 9 5 3 2" xfId="6253"/>
    <cellStyle name="Обычный 2 2 2 2 9 5 3 3" xfId="6254"/>
    <cellStyle name="Обычный 2 2 2 2 9 5 4" xfId="6255"/>
    <cellStyle name="Обычный 2 2 2 2 9 5 5" xfId="6256"/>
    <cellStyle name="Обычный 2 2 2 2 9 6" xfId="6257"/>
    <cellStyle name="Обычный 2 2 2 2 9 6 2" xfId="6258"/>
    <cellStyle name="Обычный 2 2 2 2 9 6 2 2" xfId="6259"/>
    <cellStyle name="Обычный 2 2 2 2 9 6 2 2 2" xfId="6260"/>
    <cellStyle name="Обычный 2 2 2 2 9 6 2 2 3" xfId="6261"/>
    <cellStyle name="Обычный 2 2 2 2 9 6 2 3" xfId="6262"/>
    <cellStyle name="Обычный 2 2 2 2 9 6 2 4" xfId="6263"/>
    <cellStyle name="Обычный 2 2 2 2 9 6 3" xfId="6264"/>
    <cellStyle name="Обычный 2 2 2 2 9 6 3 2" xfId="6265"/>
    <cellStyle name="Обычный 2 2 2 2 9 6 3 3" xfId="6266"/>
    <cellStyle name="Обычный 2 2 2 2 9 6 4" xfId="6267"/>
    <cellStyle name="Обычный 2 2 2 2 9 6 5" xfId="6268"/>
    <cellStyle name="Обычный 2 2 2 2 9 7" xfId="6269"/>
    <cellStyle name="Обычный 2 2 2 2 9 7 2" xfId="6270"/>
    <cellStyle name="Обычный 2 2 2 2 9 7 2 2" xfId="6271"/>
    <cellStyle name="Обычный 2 2 2 2 9 7 2 3" xfId="6272"/>
    <cellStyle name="Обычный 2 2 2 2 9 7 3" xfId="6273"/>
    <cellStyle name="Обычный 2 2 2 2 9 7 4" xfId="6274"/>
    <cellStyle name="Обычный 2 2 2 2 9 8" xfId="6275"/>
    <cellStyle name="Обычный 2 2 2 2 9 8 2" xfId="6276"/>
    <cellStyle name="Обычный 2 2 2 2 9 8 3" xfId="6277"/>
    <cellStyle name="Обычный 2 2 2 2 9 9" xfId="6278"/>
    <cellStyle name="Обычный 2 2 2 2 9_Расчет  30 млн_Технополис  Коренькова" xfId="6279"/>
    <cellStyle name="Обычный 2 2 2 2_1 ВАР. КП 1 293  +8пропорцЛара" xfId="6280"/>
    <cellStyle name="Обычный 2 2 2 3" xfId="6281"/>
    <cellStyle name="Обычный 2 2 2 3 10" xfId="6282"/>
    <cellStyle name="Обычный 2 2 2 3 10 2" xfId="6283"/>
    <cellStyle name="Обычный 2 2 2 3 10 2 2" xfId="6284"/>
    <cellStyle name="Обычный 2 2 2 3 10 2 2 2" xfId="6285"/>
    <cellStyle name="Обычный 2 2 2 3 10 2 2 3" xfId="6286"/>
    <cellStyle name="Обычный 2 2 2 3 10 2 3" xfId="6287"/>
    <cellStyle name="Обычный 2 2 2 3 10 2 4" xfId="6288"/>
    <cellStyle name="Обычный 2 2 2 3 10 3" xfId="6289"/>
    <cellStyle name="Обычный 2 2 2 3 10 3 2" xfId="6290"/>
    <cellStyle name="Обычный 2 2 2 3 10 3 3" xfId="6291"/>
    <cellStyle name="Обычный 2 2 2 3 10 4" xfId="6292"/>
    <cellStyle name="Обычный 2 2 2 3 10 5" xfId="6293"/>
    <cellStyle name="Обычный 2 2 2 3 11" xfId="6294"/>
    <cellStyle name="Обычный 2 2 2 3 11 2" xfId="6295"/>
    <cellStyle name="Обычный 2 2 2 3 11 2 2" xfId="6296"/>
    <cellStyle name="Обычный 2 2 2 3 11 2 2 2" xfId="6297"/>
    <cellStyle name="Обычный 2 2 2 3 11 2 2 3" xfId="6298"/>
    <cellStyle name="Обычный 2 2 2 3 11 2 3" xfId="6299"/>
    <cellStyle name="Обычный 2 2 2 3 11 2 4" xfId="6300"/>
    <cellStyle name="Обычный 2 2 2 3 11 3" xfId="6301"/>
    <cellStyle name="Обычный 2 2 2 3 11 3 2" xfId="6302"/>
    <cellStyle name="Обычный 2 2 2 3 11 3 3" xfId="6303"/>
    <cellStyle name="Обычный 2 2 2 3 11 4" xfId="6304"/>
    <cellStyle name="Обычный 2 2 2 3 11 5" xfId="6305"/>
    <cellStyle name="Обычный 2 2 2 3 12" xfId="6306"/>
    <cellStyle name="Обычный 2 2 2 3 12 2" xfId="6307"/>
    <cellStyle name="Обычный 2 2 2 3 12 2 2" xfId="6308"/>
    <cellStyle name="Обычный 2 2 2 3 12 2 2 2" xfId="6309"/>
    <cellStyle name="Обычный 2 2 2 3 12 2 2 3" xfId="6310"/>
    <cellStyle name="Обычный 2 2 2 3 12 2 3" xfId="6311"/>
    <cellStyle name="Обычный 2 2 2 3 12 2 4" xfId="6312"/>
    <cellStyle name="Обычный 2 2 2 3 12 3" xfId="6313"/>
    <cellStyle name="Обычный 2 2 2 3 12 3 2" xfId="6314"/>
    <cellStyle name="Обычный 2 2 2 3 12 3 3" xfId="6315"/>
    <cellStyle name="Обычный 2 2 2 3 12 4" xfId="6316"/>
    <cellStyle name="Обычный 2 2 2 3 12 5" xfId="6317"/>
    <cellStyle name="Обычный 2 2 2 3 13" xfId="6318"/>
    <cellStyle name="Обычный 2 2 2 3 13 2" xfId="6319"/>
    <cellStyle name="Обычный 2 2 2 3 13 2 2" xfId="6320"/>
    <cellStyle name="Обычный 2 2 2 3 13 2 2 2" xfId="6321"/>
    <cellStyle name="Обычный 2 2 2 3 13 2 2 3" xfId="6322"/>
    <cellStyle name="Обычный 2 2 2 3 13 2 3" xfId="6323"/>
    <cellStyle name="Обычный 2 2 2 3 13 2 4" xfId="6324"/>
    <cellStyle name="Обычный 2 2 2 3 13 3" xfId="6325"/>
    <cellStyle name="Обычный 2 2 2 3 13 3 2" xfId="6326"/>
    <cellStyle name="Обычный 2 2 2 3 13 3 3" xfId="6327"/>
    <cellStyle name="Обычный 2 2 2 3 13 4" xfId="6328"/>
    <cellStyle name="Обычный 2 2 2 3 13 5" xfId="6329"/>
    <cellStyle name="Обычный 2 2 2 3 14" xfId="6330"/>
    <cellStyle name="Обычный 2 2 2 3 14 2" xfId="6331"/>
    <cellStyle name="Обычный 2 2 2 3 14 2 2" xfId="6332"/>
    <cellStyle name="Обычный 2 2 2 3 14 2 3" xfId="6333"/>
    <cellStyle name="Обычный 2 2 2 3 14 3" xfId="6334"/>
    <cellStyle name="Обычный 2 2 2 3 14 4" xfId="6335"/>
    <cellStyle name="Обычный 2 2 2 3 15" xfId="6336"/>
    <cellStyle name="Обычный 2 2 2 3 15 2" xfId="6337"/>
    <cellStyle name="Обычный 2 2 2 3 15 3" xfId="6338"/>
    <cellStyle name="Обычный 2 2 2 3 16" xfId="6339"/>
    <cellStyle name="Обычный 2 2 2 3 17" xfId="6340"/>
    <cellStyle name="Обычный 2 2 2 3 2" xfId="6341"/>
    <cellStyle name="Обычный 2 2 2 3 2 10" xfId="6342"/>
    <cellStyle name="Обычный 2 2 2 3 2 10 2" xfId="6343"/>
    <cellStyle name="Обычный 2 2 2 3 2 10 2 2" xfId="6344"/>
    <cellStyle name="Обычный 2 2 2 3 2 10 2 3" xfId="6345"/>
    <cellStyle name="Обычный 2 2 2 3 2 10 3" xfId="6346"/>
    <cellStyle name="Обычный 2 2 2 3 2 10 4" xfId="6347"/>
    <cellStyle name="Обычный 2 2 2 3 2 11" xfId="6348"/>
    <cellStyle name="Обычный 2 2 2 3 2 11 2" xfId="6349"/>
    <cellStyle name="Обычный 2 2 2 3 2 11 3" xfId="6350"/>
    <cellStyle name="Обычный 2 2 2 3 2 12" xfId="6351"/>
    <cellStyle name="Обычный 2 2 2 3 2 13" xfId="6352"/>
    <cellStyle name="Обычный 2 2 2 3 2 2" xfId="6353"/>
    <cellStyle name="Обычный 2 2 2 3 2 2 10" xfId="6354"/>
    <cellStyle name="Обычный 2 2 2 3 2 2 2" xfId="6355"/>
    <cellStyle name="Обычный 2 2 2 3 2 2 2 2" xfId="6356"/>
    <cellStyle name="Обычный 2 2 2 3 2 2 2 2 2" xfId="6357"/>
    <cellStyle name="Обычный 2 2 2 3 2 2 2 2 2 2" xfId="6358"/>
    <cellStyle name="Обычный 2 2 2 3 2 2 2 2 2 3" xfId="6359"/>
    <cellStyle name="Обычный 2 2 2 3 2 2 2 2 3" xfId="6360"/>
    <cellStyle name="Обычный 2 2 2 3 2 2 2 2 4" xfId="6361"/>
    <cellStyle name="Обычный 2 2 2 3 2 2 2 3" xfId="6362"/>
    <cellStyle name="Обычный 2 2 2 3 2 2 2 3 2" xfId="6363"/>
    <cellStyle name="Обычный 2 2 2 3 2 2 2 3 3" xfId="6364"/>
    <cellStyle name="Обычный 2 2 2 3 2 2 2 4" xfId="6365"/>
    <cellStyle name="Обычный 2 2 2 3 2 2 2 5" xfId="6366"/>
    <cellStyle name="Обычный 2 2 2 3 2 2 3" xfId="6367"/>
    <cellStyle name="Обычный 2 2 2 3 2 2 3 2" xfId="6368"/>
    <cellStyle name="Обычный 2 2 2 3 2 2 3 2 2" xfId="6369"/>
    <cellStyle name="Обычный 2 2 2 3 2 2 3 2 2 2" xfId="6370"/>
    <cellStyle name="Обычный 2 2 2 3 2 2 3 2 2 3" xfId="6371"/>
    <cellStyle name="Обычный 2 2 2 3 2 2 3 2 3" xfId="6372"/>
    <cellStyle name="Обычный 2 2 2 3 2 2 3 2 4" xfId="6373"/>
    <cellStyle name="Обычный 2 2 2 3 2 2 3 3" xfId="6374"/>
    <cellStyle name="Обычный 2 2 2 3 2 2 3 3 2" xfId="6375"/>
    <cellStyle name="Обычный 2 2 2 3 2 2 3 3 3" xfId="6376"/>
    <cellStyle name="Обычный 2 2 2 3 2 2 3 4" xfId="6377"/>
    <cellStyle name="Обычный 2 2 2 3 2 2 3 5" xfId="6378"/>
    <cellStyle name="Обычный 2 2 2 3 2 2 4" xfId="6379"/>
    <cellStyle name="Обычный 2 2 2 3 2 2 4 2" xfId="6380"/>
    <cellStyle name="Обычный 2 2 2 3 2 2 4 2 2" xfId="6381"/>
    <cellStyle name="Обычный 2 2 2 3 2 2 4 2 2 2" xfId="6382"/>
    <cellStyle name="Обычный 2 2 2 3 2 2 4 2 2 3" xfId="6383"/>
    <cellStyle name="Обычный 2 2 2 3 2 2 4 2 3" xfId="6384"/>
    <cellStyle name="Обычный 2 2 2 3 2 2 4 2 4" xfId="6385"/>
    <cellStyle name="Обычный 2 2 2 3 2 2 4 3" xfId="6386"/>
    <cellStyle name="Обычный 2 2 2 3 2 2 4 3 2" xfId="6387"/>
    <cellStyle name="Обычный 2 2 2 3 2 2 4 3 3" xfId="6388"/>
    <cellStyle name="Обычный 2 2 2 3 2 2 4 4" xfId="6389"/>
    <cellStyle name="Обычный 2 2 2 3 2 2 4 5" xfId="6390"/>
    <cellStyle name="Обычный 2 2 2 3 2 2 5" xfId="6391"/>
    <cellStyle name="Обычный 2 2 2 3 2 2 5 2" xfId="6392"/>
    <cellStyle name="Обычный 2 2 2 3 2 2 5 2 2" xfId="6393"/>
    <cellStyle name="Обычный 2 2 2 3 2 2 5 2 2 2" xfId="6394"/>
    <cellStyle name="Обычный 2 2 2 3 2 2 5 2 2 3" xfId="6395"/>
    <cellStyle name="Обычный 2 2 2 3 2 2 5 2 3" xfId="6396"/>
    <cellStyle name="Обычный 2 2 2 3 2 2 5 2 4" xfId="6397"/>
    <cellStyle name="Обычный 2 2 2 3 2 2 5 3" xfId="6398"/>
    <cellStyle name="Обычный 2 2 2 3 2 2 5 3 2" xfId="6399"/>
    <cellStyle name="Обычный 2 2 2 3 2 2 5 3 3" xfId="6400"/>
    <cellStyle name="Обычный 2 2 2 3 2 2 5 4" xfId="6401"/>
    <cellStyle name="Обычный 2 2 2 3 2 2 5 5" xfId="6402"/>
    <cellStyle name="Обычный 2 2 2 3 2 2 6" xfId="6403"/>
    <cellStyle name="Обычный 2 2 2 3 2 2 6 2" xfId="6404"/>
    <cellStyle name="Обычный 2 2 2 3 2 2 6 2 2" xfId="6405"/>
    <cellStyle name="Обычный 2 2 2 3 2 2 6 2 2 2" xfId="6406"/>
    <cellStyle name="Обычный 2 2 2 3 2 2 6 2 2 3" xfId="6407"/>
    <cellStyle name="Обычный 2 2 2 3 2 2 6 2 3" xfId="6408"/>
    <cellStyle name="Обычный 2 2 2 3 2 2 6 2 4" xfId="6409"/>
    <cellStyle name="Обычный 2 2 2 3 2 2 6 3" xfId="6410"/>
    <cellStyle name="Обычный 2 2 2 3 2 2 6 3 2" xfId="6411"/>
    <cellStyle name="Обычный 2 2 2 3 2 2 6 3 3" xfId="6412"/>
    <cellStyle name="Обычный 2 2 2 3 2 2 6 4" xfId="6413"/>
    <cellStyle name="Обычный 2 2 2 3 2 2 6 5" xfId="6414"/>
    <cellStyle name="Обычный 2 2 2 3 2 2 7" xfId="6415"/>
    <cellStyle name="Обычный 2 2 2 3 2 2 7 2" xfId="6416"/>
    <cellStyle name="Обычный 2 2 2 3 2 2 7 2 2" xfId="6417"/>
    <cellStyle name="Обычный 2 2 2 3 2 2 7 2 3" xfId="6418"/>
    <cellStyle name="Обычный 2 2 2 3 2 2 7 3" xfId="6419"/>
    <cellStyle name="Обычный 2 2 2 3 2 2 7 4" xfId="6420"/>
    <cellStyle name="Обычный 2 2 2 3 2 2 8" xfId="6421"/>
    <cellStyle name="Обычный 2 2 2 3 2 2 8 2" xfId="6422"/>
    <cellStyle name="Обычный 2 2 2 3 2 2 8 3" xfId="6423"/>
    <cellStyle name="Обычный 2 2 2 3 2 2 9" xfId="6424"/>
    <cellStyle name="Обычный 2 2 2 3 2 2_Расчет  30 млн_Технополис  Коренькова" xfId="6425"/>
    <cellStyle name="Обычный 2 2 2 3 2 3" xfId="6426"/>
    <cellStyle name="Обычный 2 2 2 3 2 3 10" xfId="6427"/>
    <cellStyle name="Обычный 2 2 2 3 2 3 2" xfId="6428"/>
    <cellStyle name="Обычный 2 2 2 3 2 3 2 2" xfId="6429"/>
    <cellStyle name="Обычный 2 2 2 3 2 3 2 2 2" xfId="6430"/>
    <cellStyle name="Обычный 2 2 2 3 2 3 2 2 2 2" xfId="6431"/>
    <cellStyle name="Обычный 2 2 2 3 2 3 2 2 2 3" xfId="6432"/>
    <cellStyle name="Обычный 2 2 2 3 2 3 2 2 3" xfId="6433"/>
    <cellStyle name="Обычный 2 2 2 3 2 3 2 2 4" xfId="6434"/>
    <cellStyle name="Обычный 2 2 2 3 2 3 2 3" xfId="6435"/>
    <cellStyle name="Обычный 2 2 2 3 2 3 2 3 2" xfId="6436"/>
    <cellStyle name="Обычный 2 2 2 3 2 3 2 3 3" xfId="6437"/>
    <cellStyle name="Обычный 2 2 2 3 2 3 2 4" xfId="6438"/>
    <cellStyle name="Обычный 2 2 2 3 2 3 2 5" xfId="6439"/>
    <cellStyle name="Обычный 2 2 2 3 2 3 3" xfId="6440"/>
    <cellStyle name="Обычный 2 2 2 3 2 3 3 2" xfId="6441"/>
    <cellStyle name="Обычный 2 2 2 3 2 3 3 2 2" xfId="6442"/>
    <cellStyle name="Обычный 2 2 2 3 2 3 3 2 2 2" xfId="6443"/>
    <cellStyle name="Обычный 2 2 2 3 2 3 3 2 2 3" xfId="6444"/>
    <cellStyle name="Обычный 2 2 2 3 2 3 3 2 3" xfId="6445"/>
    <cellStyle name="Обычный 2 2 2 3 2 3 3 2 4" xfId="6446"/>
    <cellStyle name="Обычный 2 2 2 3 2 3 3 3" xfId="6447"/>
    <cellStyle name="Обычный 2 2 2 3 2 3 3 3 2" xfId="6448"/>
    <cellStyle name="Обычный 2 2 2 3 2 3 3 3 3" xfId="6449"/>
    <cellStyle name="Обычный 2 2 2 3 2 3 3 4" xfId="6450"/>
    <cellStyle name="Обычный 2 2 2 3 2 3 3 5" xfId="6451"/>
    <cellStyle name="Обычный 2 2 2 3 2 3 4" xfId="6452"/>
    <cellStyle name="Обычный 2 2 2 3 2 3 4 2" xfId="6453"/>
    <cellStyle name="Обычный 2 2 2 3 2 3 4 2 2" xfId="6454"/>
    <cellStyle name="Обычный 2 2 2 3 2 3 4 2 2 2" xfId="6455"/>
    <cellStyle name="Обычный 2 2 2 3 2 3 4 2 2 3" xfId="6456"/>
    <cellStyle name="Обычный 2 2 2 3 2 3 4 2 3" xfId="6457"/>
    <cellStyle name="Обычный 2 2 2 3 2 3 4 2 4" xfId="6458"/>
    <cellStyle name="Обычный 2 2 2 3 2 3 4 3" xfId="6459"/>
    <cellStyle name="Обычный 2 2 2 3 2 3 4 3 2" xfId="6460"/>
    <cellStyle name="Обычный 2 2 2 3 2 3 4 3 3" xfId="6461"/>
    <cellStyle name="Обычный 2 2 2 3 2 3 4 4" xfId="6462"/>
    <cellStyle name="Обычный 2 2 2 3 2 3 4 5" xfId="6463"/>
    <cellStyle name="Обычный 2 2 2 3 2 3 5" xfId="6464"/>
    <cellStyle name="Обычный 2 2 2 3 2 3 5 2" xfId="6465"/>
    <cellStyle name="Обычный 2 2 2 3 2 3 5 2 2" xfId="6466"/>
    <cellStyle name="Обычный 2 2 2 3 2 3 5 2 2 2" xfId="6467"/>
    <cellStyle name="Обычный 2 2 2 3 2 3 5 2 2 3" xfId="6468"/>
    <cellStyle name="Обычный 2 2 2 3 2 3 5 2 3" xfId="6469"/>
    <cellStyle name="Обычный 2 2 2 3 2 3 5 2 4" xfId="6470"/>
    <cellStyle name="Обычный 2 2 2 3 2 3 5 3" xfId="6471"/>
    <cellStyle name="Обычный 2 2 2 3 2 3 5 3 2" xfId="6472"/>
    <cellStyle name="Обычный 2 2 2 3 2 3 5 3 3" xfId="6473"/>
    <cellStyle name="Обычный 2 2 2 3 2 3 5 4" xfId="6474"/>
    <cellStyle name="Обычный 2 2 2 3 2 3 5 5" xfId="6475"/>
    <cellStyle name="Обычный 2 2 2 3 2 3 6" xfId="6476"/>
    <cellStyle name="Обычный 2 2 2 3 2 3 6 2" xfId="6477"/>
    <cellStyle name="Обычный 2 2 2 3 2 3 6 2 2" xfId="6478"/>
    <cellStyle name="Обычный 2 2 2 3 2 3 6 2 2 2" xfId="6479"/>
    <cellStyle name="Обычный 2 2 2 3 2 3 6 2 2 3" xfId="6480"/>
    <cellStyle name="Обычный 2 2 2 3 2 3 6 2 3" xfId="6481"/>
    <cellStyle name="Обычный 2 2 2 3 2 3 6 2 4" xfId="6482"/>
    <cellStyle name="Обычный 2 2 2 3 2 3 6 3" xfId="6483"/>
    <cellStyle name="Обычный 2 2 2 3 2 3 6 3 2" xfId="6484"/>
    <cellStyle name="Обычный 2 2 2 3 2 3 6 3 3" xfId="6485"/>
    <cellStyle name="Обычный 2 2 2 3 2 3 6 4" xfId="6486"/>
    <cellStyle name="Обычный 2 2 2 3 2 3 6 5" xfId="6487"/>
    <cellStyle name="Обычный 2 2 2 3 2 3 7" xfId="6488"/>
    <cellStyle name="Обычный 2 2 2 3 2 3 7 2" xfId="6489"/>
    <cellStyle name="Обычный 2 2 2 3 2 3 7 2 2" xfId="6490"/>
    <cellStyle name="Обычный 2 2 2 3 2 3 7 2 3" xfId="6491"/>
    <cellStyle name="Обычный 2 2 2 3 2 3 7 3" xfId="6492"/>
    <cellStyle name="Обычный 2 2 2 3 2 3 7 4" xfId="6493"/>
    <cellStyle name="Обычный 2 2 2 3 2 3 8" xfId="6494"/>
    <cellStyle name="Обычный 2 2 2 3 2 3 8 2" xfId="6495"/>
    <cellStyle name="Обычный 2 2 2 3 2 3 8 3" xfId="6496"/>
    <cellStyle name="Обычный 2 2 2 3 2 3 9" xfId="6497"/>
    <cellStyle name="Обычный 2 2 2 3 2 3_Расчет  30 млн_Технополис  Коренькова" xfId="6498"/>
    <cellStyle name="Обычный 2 2 2 3 2 4" xfId="6499"/>
    <cellStyle name="Обычный 2 2 2 3 2 4 10" xfId="6500"/>
    <cellStyle name="Обычный 2 2 2 3 2 4 2" xfId="6501"/>
    <cellStyle name="Обычный 2 2 2 3 2 4 2 2" xfId="6502"/>
    <cellStyle name="Обычный 2 2 2 3 2 4 2 2 2" xfId="6503"/>
    <cellStyle name="Обычный 2 2 2 3 2 4 2 3" xfId="6504"/>
    <cellStyle name="Обычный 2 2 2 3 2 4 3" xfId="6505"/>
    <cellStyle name="Обычный 2 2 2 3 2 4 3 2" xfId="6506"/>
    <cellStyle name="Обычный 2 2 2 3 2 4 3 2 2" xfId="6507"/>
    <cellStyle name="Обычный 2 2 2 3 2 4 3 2 2 2" xfId="6508"/>
    <cellStyle name="Обычный 2 2 2 3 2 4 3 2 2 3" xfId="6509"/>
    <cellStyle name="Обычный 2 2 2 3 2 4 3 2 3" xfId="6510"/>
    <cellStyle name="Обычный 2 2 2 3 2 4 3 2 4" xfId="6511"/>
    <cellStyle name="Обычный 2 2 2 3 2 4 3 3" xfId="6512"/>
    <cellStyle name="Обычный 2 2 2 3 2 4 3 3 2" xfId="6513"/>
    <cellStyle name="Обычный 2 2 2 3 2 4 3 3 3" xfId="6514"/>
    <cellStyle name="Обычный 2 2 2 3 2 4 3 4" xfId="6515"/>
    <cellStyle name="Обычный 2 2 2 3 2 4 3 5" xfId="6516"/>
    <cellStyle name="Обычный 2 2 2 3 2 4 4" xfId="6517"/>
    <cellStyle name="Обычный 2 2 2 3 2 4 4 2" xfId="6518"/>
    <cellStyle name="Обычный 2 2 2 3 2 4 4 2 2" xfId="6519"/>
    <cellStyle name="Обычный 2 2 2 3 2 4 4 2 2 2" xfId="6520"/>
    <cellStyle name="Обычный 2 2 2 3 2 4 4 2 2 3" xfId="6521"/>
    <cellStyle name="Обычный 2 2 2 3 2 4 4 2 3" xfId="6522"/>
    <cellStyle name="Обычный 2 2 2 3 2 4 4 2 4" xfId="6523"/>
    <cellStyle name="Обычный 2 2 2 3 2 4 4 3" xfId="6524"/>
    <cellStyle name="Обычный 2 2 2 3 2 4 4 3 2" xfId="6525"/>
    <cellStyle name="Обычный 2 2 2 3 2 4 4 3 3" xfId="6526"/>
    <cellStyle name="Обычный 2 2 2 3 2 4 4 4" xfId="6527"/>
    <cellStyle name="Обычный 2 2 2 3 2 4 4 5" xfId="6528"/>
    <cellStyle name="Обычный 2 2 2 3 2 4 5" xfId="6529"/>
    <cellStyle name="Обычный 2 2 2 3 2 4 5 2" xfId="6530"/>
    <cellStyle name="Обычный 2 2 2 3 2 4 5 2 2" xfId="6531"/>
    <cellStyle name="Обычный 2 2 2 3 2 4 5 2 2 2" xfId="6532"/>
    <cellStyle name="Обычный 2 2 2 3 2 4 5 2 2 3" xfId="6533"/>
    <cellStyle name="Обычный 2 2 2 3 2 4 5 2 3" xfId="6534"/>
    <cellStyle name="Обычный 2 2 2 3 2 4 5 2 4" xfId="6535"/>
    <cellStyle name="Обычный 2 2 2 3 2 4 5 3" xfId="6536"/>
    <cellStyle name="Обычный 2 2 2 3 2 4 5 3 2" xfId="6537"/>
    <cellStyle name="Обычный 2 2 2 3 2 4 5 3 3" xfId="6538"/>
    <cellStyle name="Обычный 2 2 2 3 2 4 5 4" xfId="6539"/>
    <cellStyle name="Обычный 2 2 2 3 2 4 5 5" xfId="6540"/>
    <cellStyle name="Обычный 2 2 2 3 2 4 6" xfId="6541"/>
    <cellStyle name="Обычный 2 2 2 3 2 4 6 2" xfId="6542"/>
    <cellStyle name="Обычный 2 2 2 3 2 4 6 2 2" xfId="6543"/>
    <cellStyle name="Обычный 2 2 2 3 2 4 6 2 2 2" xfId="6544"/>
    <cellStyle name="Обычный 2 2 2 3 2 4 6 2 2 3" xfId="6545"/>
    <cellStyle name="Обычный 2 2 2 3 2 4 6 2 3" xfId="6546"/>
    <cellStyle name="Обычный 2 2 2 3 2 4 6 2 4" xfId="6547"/>
    <cellStyle name="Обычный 2 2 2 3 2 4 6 3" xfId="6548"/>
    <cellStyle name="Обычный 2 2 2 3 2 4 6 3 2" xfId="6549"/>
    <cellStyle name="Обычный 2 2 2 3 2 4 6 3 3" xfId="6550"/>
    <cellStyle name="Обычный 2 2 2 3 2 4 6 4" xfId="6551"/>
    <cellStyle name="Обычный 2 2 2 3 2 4 6 5" xfId="6552"/>
    <cellStyle name="Обычный 2 2 2 3 2 4 7" xfId="6553"/>
    <cellStyle name="Обычный 2 2 2 3 2 4 7 2" xfId="6554"/>
    <cellStyle name="Обычный 2 2 2 3 2 4 7 2 2" xfId="6555"/>
    <cellStyle name="Обычный 2 2 2 3 2 4 7 2 3" xfId="6556"/>
    <cellStyle name="Обычный 2 2 2 3 2 4 7 3" xfId="6557"/>
    <cellStyle name="Обычный 2 2 2 3 2 4 7 4" xfId="6558"/>
    <cellStyle name="Обычный 2 2 2 3 2 4 8" xfId="6559"/>
    <cellStyle name="Обычный 2 2 2 3 2 4 8 2" xfId="6560"/>
    <cellStyle name="Обычный 2 2 2 3 2 4 8 3" xfId="6561"/>
    <cellStyle name="Обычный 2 2 2 3 2 4 9" xfId="6562"/>
    <cellStyle name="Обычный 2 2 2 3 2 4_Расчет  30 млн_Технополис  Коренькова" xfId="6563"/>
    <cellStyle name="Обычный 2 2 2 3 2 5" xfId="6564"/>
    <cellStyle name="Обычный 2 2 2 3 2 5 2" xfId="6565"/>
    <cellStyle name="Обычный 2 2 2 3 2 5 2 2" xfId="6566"/>
    <cellStyle name="Обычный 2 2 2 3 2 5 2 2 2" xfId="6567"/>
    <cellStyle name="Обычный 2 2 2 3 2 5 2 2 3" xfId="6568"/>
    <cellStyle name="Обычный 2 2 2 3 2 5 2 3" xfId="6569"/>
    <cellStyle name="Обычный 2 2 2 3 2 5 2 4" xfId="6570"/>
    <cellStyle name="Обычный 2 2 2 3 2 5 3" xfId="6571"/>
    <cellStyle name="Обычный 2 2 2 3 2 5 3 2" xfId="6572"/>
    <cellStyle name="Обычный 2 2 2 3 2 5 3 3" xfId="6573"/>
    <cellStyle name="Обычный 2 2 2 3 2 5 4" xfId="6574"/>
    <cellStyle name="Обычный 2 2 2 3 2 5 5" xfId="6575"/>
    <cellStyle name="Обычный 2 2 2 3 2 6" xfId="6576"/>
    <cellStyle name="Обычный 2 2 2 3 2 6 2" xfId="6577"/>
    <cellStyle name="Обычный 2 2 2 3 2 6 2 2" xfId="6578"/>
    <cellStyle name="Обычный 2 2 2 3 2 6 2 2 2" xfId="6579"/>
    <cellStyle name="Обычный 2 2 2 3 2 6 2 2 3" xfId="6580"/>
    <cellStyle name="Обычный 2 2 2 3 2 6 2 3" xfId="6581"/>
    <cellStyle name="Обычный 2 2 2 3 2 6 2 4" xfId="6582"/>
    <cellStyle name="Обычный 2 2 2 3 2 6 3" xfId="6583"/>
    <cellStyle name="Обычный 2 2 2 3 2 6 3 2" xfId="6584"/>
    <cellStyle name="Обычный 2 2 2 3 2 6 3 3" xfId="6585"/>
    <cellStyle name="Обычный 2 2 2 3 2 6 4" xfId="6586"/>
    <cellStyle name="Обычный 2 2 2 3 2 6 5" xfId="6587"/>
    <cellStyle name="Обычный 2 2 2 3 2 7" xfId="6588"/>
    <cellStyle name="Обычный 2 2 2 3 2 7 2" xfId="6589"/>
    <cellStyle name="Обычный 2 2 2 3 2 7 2 2" xfId="6590"/>
    <cellStyle name="Обычный 2 2 2 3 2 7 2 2 2" xfId="6591"/>
    <cellStyle name="Обычный 2 2 2 3 2 7 2 2 3" xfId="6592"/>
    <cellStyle name="Обычный 2 2 2 3 2 7 2 3" xfId="6593"/>
    <cellStyle name="Обычный 2 2 2 3 2 7 2 4" xfId="6594"/>
    <cellStyle name="Обычный 2 2 2 3 2 7 3" xfId="6595"/>
    <cellStyle name="Обычный 2 2 2 3 2 7 3 2" xfId="6596"/>
    <cellStyle name="Обычный 2 2 2 3 2 7 3 3" xfId="6597"/>
    <cellStyle name="Обычный 2 2 2 3 2 7 4" xfId="6598"/>
    <cellStyle name="Обычный 2 2 2 3 2 7 5" xfId="6599"/>
    <cellStyle name="Обычный 2 2 2 3 2 8" xfId="6600"/>
    <cellStyle name="Обычный 2 2 2 3 2 8 2" xfId="6601"/>
    <cellStyle name="Обычный 2 2 2 3 2 8 2 2" xfId="6602"/>
    <cellStyle name="Обычный 2 2 2 3 2 8 2 2 2" xfId="6603"/>
    <cellStyle name="Обычный 2 2 2 3 2 8 2 2 3" xfId="6604"/>
    <cellStyle name="Обычный 2 2 2 3 2 8 2 3" xfId="6605"/>
    <cellStyle name="Обычный 2 2 2 3 2 8 2 4" xfId="6606"/>
    <cellStyle name="Обычный 2 2 2 3 2 8 3" xfId="6607"/>
    <cellStyle name="Обычный 2 2 2 3 2 8 3 2" xfId="6608"/>
    <cellStyle name="Обычный 2 2 2 3 2 8 3 3" xfId="6609"/>
    <cellStyle name="Обычный 2 2 2 3 2 8 4" xfId="6610"/>
    <cellStyle name="Обычный 2 2 2 3 2 8 5" xfId="6611"/>
    <cellStyle name="Обычный 2 2 2 3 2 9" xfId="6612"/>
    <cellStyle name="Обычный 2 2 2 3 2 9 2" xfId="6613"/>
    <cellStyle name="Обычный 2 2 2 3 2 9 2 2" xfId="6614"/>
    <cellStyle name="Обычный 2 2 2 3 2 9 2 2 2" xfId="6615"/>
    <cellStyle name="Обычный 2 2 2 3 2 9 2 2 3" xfId="6616"/>
    <cellStyle name="Обычный 2 2 2 3 2 9 2 3" xfId="6617"/>
    <cellStyle name="Обычный 2 2 2 3 2 9 2 4" xfId="6618"/>
    <cellStyle name="Обычный 2 2 2 3 2 9 3" xfId="6619"/>
    <cellStyle name="Обычный 2 2 2 3 2 9 3 2" xfId="6620"/>
    <cellStyle name="Обычный 2 2 2 3 2 9 3 3" xfId="6621"/>
    <cellStyle name="Обычный 2 2 2 3 2 9 4" xfId="6622"/>
    <cellStyle name="Обычный 2 2 2 3 2 9 5" xfId="6623"/>
    <cellStyle name="Обычный 2 2 2 3 2_1 ВАР. КП 1 293  +8пропорцЛара" xfId="6624"/>
    <cellStyle name="Обычный 2 2 2 3 3" xfId="6625"/>
    <cellStyle name="Обычный 2 2 2 3 3 10" xfId="6626"/>
    <cellStyle name="Обычный 2 2 2 3 3 10 2" xfId="6627"/>
    <cellStyle name="Обычный 2 2 2 3 3 10 2 2" xfId="6628"/>
    <cellStyle name="Обычный 2 2 2 3 3 10 2 3" xfId="6629"/>
    <cellStyle name="Обычный 2 2 2 3 3 10 3" xfId="6630"/>
    <cellStyle name="Обычный 2 2 2 3 3 10 4" xfId="6631"/>
    <cellStyle name="Обычный 2 2 2 3 3 11" xfId="6632"/>
    <cellStyle name="Обычный 2 2 2 3 3 11 2" xfId="6633"/>
    <cellStyle name="Обычный 2 2 2 3 3 11 3" xfId="6634"/>
    <cellStyle name="Обычный 2 2 2 3 3 12" xfId="6635"/>
    <cellStyle name="Обычный 2 2 2 3 3 13" xfId="6636"/>
    <cellStyle name="Обычный 2 2 2 3 3 2" xfId="6637"/>
    <cellStyle name="Обычный 2 2 2 3 3 2 10" xfId="6638"/>
    <cellStyle name="Обычный 2 2 2 3 3 2 2" xfId="6639"/>
    <cellStyle name="Обычный 2 2 2 3 3 2 2 2" xfId="6640"/>
    <cellStyle name="Обычный 2 2 2 3 3 2 2 2 2" xfId="6641"/>
    <cellStyle name="Обычный 2 2 2 3 3 2 2 2 2 2" xfId="6642"/>
    <cellStyle name="Обычный 2 2 2 3 3 2 2 2 2 3" xfId="6643"/>
    <cellStyle name="Обычный 2 2 2 3 3 2 2 2 3" xfId="6644"/>
    <cellStyle name="Обычный 2 2 2 3 3 2 2 2 4" xfId="6645"/>
    <cellStyle name="Обычный 2 2 2 3 3 2 2 3" xfId="6646"/>
    <cellStyle name="Обычный 2 2 2 3 3 2 2 3 2" xfId="6647"/>
    <cellStyle name="Обычный 2 2 2 3 3 2 2 3 3" xfId="6648"/>
    <cellStyle name="Обычный 2 2 2 3 3 2 2 4" xfId="6649"/>
    <cellStyle name="Обычный 2 2 2 3 3 2 2 5" xfId="6650"/>
    <cellStyle name="Обычный 2 2 2 3 3 2 3" xfId="6651"/>
    <cellStyle name="Обычный 2 2 2 3 3 2 3 2" xfId="6652"/>
    <cellStyle name="Обычный 2 2 2 3 3 2 3 2 2" xfId="6653"/>
    <cellStyle name="Обычный 2 2 2 3 3 2 3 2 2 2" xfId="6654"/>
    <cellStyle name="Обычный 2 2 2 3 3 2 3 2 2 3" xfId="6655"/>
    <cellStyle name="Обычный 2 2 2 3 3 2 3 2 3" xfId="6656"/>
    <cellStyle name="Обычный 2 2 2 3 3 2 3 2 4" xfId="6657"/>
    <cellStyle name="Обычный 2 2 2 3 3 2 3 3" xfId="6658"/>
    <cellStyle name="Обычный 2 2 2 3 3 2 3 3 2" xfId="6659"/>
    <cellStyle name="Обычный 2 2 2 3 3 2 3 3 3" xfId="6660"/>
    <cellStyle name="Обычный 2 2 2 3 3 2 3 4" xfId="6661"/>
    <cellStyle name="Обычный 2 2 2 3 3 2 3 5" xfId="6662"/>
    <cellStyle name="Обычный 2 2 2 3 3 2 4" xfId="6663"/>
    <cellStyle name="Обычный 2 2 2 3 3 2 4 2" xfId="6664"/>
    <cellStyle name="Обычный 2 2 2 3 3 2 4 2 2" xfId="6665"/>
    <cellStyle name="Обычный 2 2 2 3 3 2 4 2 2 2" xfId="6666"/>
    <cellStyle name="Обычный 2 2 2 3 3 2 4 2 2 3" xfId="6667"/>
    <cellStyle name="Обычный 2 2 2 3 3 2 4 2 3" xfId="6668"/>
    <cellStyle name="Обычный 2 2 2 3 3 2 4 2 4" xfId="6669"/>
    <cellStyle name="Обычный 2 2 2 3 3 2 4 3" xfId="6670"/>
    <cellStyle name="Обычный 2 2 2 3 3 2 4 3 2" xfId="6671"/>
    <cellStyle name="Обычный 2 2 2 3 3 2 4 3 3" xfId="6672"/>
    <cellStyle name="Обычный 2 2 2 3 3 2 4 4" xfId="6673"/>
    <cellStyle name="Обычный 2 2 2 3 3 2 4 5" xfId="6674"/>
    <cellStyle name="Обычный 2 2 2 3 3 2 5" xfId="6675"/>
    <cellStyle name="Обычный 2 2 2 3 3 2 5 2" xfId="6676"/>
    <cellStyle name="Обычный 2 2 2 3 3 2 5 2 2" xfId="6677"/>
    <cellStyle name="Обычный 2 2 2 3 3 2 5 2 2 2" xfId="6678"/>
    <cellStyle name="Обычный 2 2 2 3 3 2 5 2 2 3" xfId="6679"/>
    <cellStyle name="Обычный 2 2 2 3 3 2 5 2 3" xfId="6680"/>
    <cellStyle name="Обычный 2 2 2 3 3 2 5 2 4" xfId="6681"/>
    <cellStyle name="Обычный 2 2 2 3 3 2 5 3" xfId="6682"/>
    <cellStyle name="Обычный 2 2 2 3 3 2 5 3 2" xfId="6683"/>
    <cellStyle name="Обычный 2 2 2 3 3 2 5 3 3" xfId="6684"/>
    <cellStyle name="Обычный 2 2 2 3 3 2 5 4" xfId="6685"/>
    <cellStyle name="Обычный 2 2 2 3 3 2 5 5" xfId="6686"/>
    <cellStyle name="Обычный 2 2 2 3 3 2 6" xfId="6687"/>
    <cellStyle name="Обычный 2 2 2 3 3 2 6 2" xfId="6688"/>
    <cellStyle name="Обычный 2 2 2 3 3 2 6 2 2" xfId="6689"/>
    <cellStyle name="Обычный 2 2 2 3 3 2 6 2 2 2" xfId="6690"/>
    <cellStyle name="Обычный 2 2 2 3 3 2 6 2 2 3" xfId="6691"/>
    <cellStyle name="Обычный 2 2 2 3 3 2 6 2 3" xfId="6692"/>
    <cellStyle name="Обычный 2 2 2 3 3 2 6 2 4" xfId="6693"/>
    <cellStyle name="Обычный 2 2 2 3 3 2 6 3" xfId="6694"/>
    <cellStyle name="Обычный 2 2 2 3 3 2 6 3 2" xfId="6695"/>
    <cellStyle name="Обычный 2 2 2 3 3 2 6 3 3" xfId="6696"/>
    <cellStyle name="Обычный 2 2 2 3 3 2 6 4" xfId="6697"/>
    <cellStyle name="Обычный 2 2 2 3 3 2 6 5" xfId="6698"/>
    <cellStyle name="Обычный 2 2 2 3 3 2 7" xfId="6699"/>
    <cellStyle name="Обычный 2 2 2 3 3 2 7 2" xfId="6700"/>
    <cellStyle name="Обычный 2 2 2 3 3 2 7 2 2" xfId="6701"/>
    <cellStyle name="Обычный 2 2 2 3 3 2 7 2 3" xfId="6702"/>
    <cellStyle name="Обычный 2 2 2 3 3 2 7 3" xfId="6703"/>
    <cellStyle name="Обычный 2 2 2 3 3 2 7 4" xfId="6704"/>
    <cellStyle name="Обычный 2 2 2 3 3 2 8" xfId="6705"/>
    <cellStyle name="Обычный 2 2 2 3 3 2 8 2" xfId="6706"/>
    <cellStyle name="Обычный 2 2 2 3 3 2 8 3" xfId="6707"/>
    <cellStyle name="Обычный 2 2 2 3 3 2 9" xfId="6708"/>
    <cellStyle name="Обычный 2 2 2 3 3 2_Расчет  30 млн_Технополис  Коренькова" xfId="6709"/>
    <cellStyle name="Обычный 2 2 2 3 3 3" xfId="6710"/>
    <cellStyle name="Обычный 2 2 2 3 3 3 10" xfId="6711"/>
    <cellStyle name="Обычный 2 2 2 3 3 3 2" xfId="6712"/>
    <cellStyle name="Обычный 2 2 2 3 3 3 2 2" xfId="6713"/>
    <cellStyle name="Обычный 2 2 2 3 3 3 2 2 2" xfId="6714"/>
    <cellStyle name="Обычный 2 2 2 3 3 3 2 2 2 2" xfId="6715"/>
    <cellStyle name="Обычный 2 2 2 3 3 3 2 2 2 3" xfId="6716"/>
    <cellStyle name="Обычный 2 2 2 3 3 3 2 2 3" xfId="6717"/>
    <cellStyle name="Обычный 2 2 2 3 3 3 2 2 4" xfId="6718"/>
    <cellStyle name="Обычный 2 2 2 3 3 3 2 3" xfId="6719"/>
    <cellStyle name="Обычный 2 2 2 3 3 3 2 3 2" xfId="6720"/>
    <cellStyle name="Обычный 2 2 2 3 3 3 2 3 3" xfId="6721"/>
    <cellStyle name="Обычный 2 2 2 3 3 3 2 4" xfId="6722"/>
    <cellStyle name="Обычный 2 2 2 3 3 3 2 5" xfId="6723"/>
    <cellStyle name="Обычный 2 2 2 3 3 3 3" xfId="6724"/>
    <cellStyle name="Обычный 2 2 2 3 3 3 3 2" xfId="6725"/>
    <cellStyle name="Обычный 2 2 2 3 3 3 3 2 2" xfId="6726"/>
    <cellStyle name="Обычный 2 2 2 3 3 3 3 2 2 2" xfId="6727"/>
    <cellStyle name="Обычный 2 2 2 3 3 3 3 2 2 3" xfId="6728"/>
    <cellStyle name="Обычный 2 2 2 3 3 3 3 2 3" xfId="6729"/>
    <cellStyle name="Обычный 2 2 2 3 3 3 3 2 4" xfId="6730"/>
    <cellStyle name="Обычный 2 2 2 3 3 3 3 3" xfId="6731"/>
    <cellStyle name="Обычный 2 2 2 3 3 3 3 3 2" xfId="6732"/>
    <cellStyle name="Обычный 2 2 2 3 3 3 3 3 3" xfId="6733"/>
    <cellStyle name="Обычный 2 2 2 3 3 3 3 4" xfId="6734"/>
    <cellStyle name="Обычный 2 2 2 3 3 3 3 5" xfId="6735"/>
    <cellStyle name="Обычный 2 2 2 3 3 3 4" xfId="6736"/>
    <cellStyle name="Обычный 2 2 2 3 3 3 4 2" xfId="6737"/>
    <cellStyle name="Обычный 2 2 2 3 3 3 4 2 2" xfId="6738"/>
    <cellStyle name="Обычный 2 2 2 3 3 3 4 2 2 2" xfId="6739"/>
    <cellStyle name="Обычный 2 2 2 3 3 3 4 2 2 3" xfId="6740"/>
    <cellStyle name="Обычный 2 2 2 3 3 3 4 2 3" xfId="6741"/>
    <cellStyle name="Обычный 2 2 2 3 3 3 4 2 4" xfId="6742"/>
    <cellStyle name="Обычный 2 2 2 3 3 3 4 3" xfId="6743"/>
    <cellStyle name="Обычный 2 2 2 3 3 3 4 3 2" xfId="6744"/>
    <cellStyle name="Обычный 2 2 2 3 3 3 4 3 3" xfId="6745"/>
    <cellStyle name="Обычный 2 2 2 3 3 3 4 4" xfId="6746"/>
    <cellStyle name="Обычный 2 2 2 3 3 3 4 5" xfId="6747"/>
    <cellStyle name="Обычный 2 2 2 3 3 3 5" xfId="6748"/>
    <cellStyle name="Обычный 2 2 2 3 3 3 5 2" xfId="6749"/>
    <cellStyle name="Обычный 2 2 2 3 3 3 5 2 2" xfId="6750"/>
    <cellStyle name="Обычный 2 2 2 3 3 3 5 2 2 2" xfId="6751"/>
    <cellStyle name="Обычный 2 2 2 3 3 3 5 2 2 3" xfId="6752"/>
    <cellStyle name="Обычный 2 2 2 3 3 3 5 2 3" xfId="6753"/>
    <cellStyle name="Обычный 2 2 2 3 3 3 5 2 4" xfId="6754"/>
    <cellStyle name="Обычный 2 2 2 3 3 3 5 3" xfId="6755"/>
    <cellStyle name="Обычный 2 2 2 3 3 3 5 3 2" xfId="6756"/>
    <cellStyle name="Обычный 2 2 2 3 3 3 5 3 3" xfId="6757"/>
    <cellStyle name="Обычный 2 2 2 3 3 3 5 4" xfId="6758"/>
    <cellStyle name="Обычный 2 2 2 3 3 3 5 5" xfId="6759"/>
    <cellStyle name="Обычный 2 2 2 3 3 3 6" xfId="6760"/>
    <cellStyle name="Обычный 2 2 2 3 3 3 6 2" xfId="6761"/>
    <cellStyle name="Обычный 2 2 2 3 3 3 6 2 2" xfId="6762"/>
    <cellStyle name="Обычный 2 2 2 3 3 3 6 2 2 2" xfId="6763"/>
    <cellStyle name="Обычный 2 2 2 3 3 3 6 2 2 3" xfId="6764"/>
    <cellStyle name="Обычный 2 2 2 3 3 3 6 2 3" xfId="6765"/>
    <cellStyle name="Обычный 2 2 2 3 3 3 6 2 4" xfId="6766"/>
    <cellStyle name="Обычный 2 2 2 3 3 3 6 3" xfId="6767"/>
    <cellStyle name="Обычный 2 2 2 3 3 3 6 3 2" xfId="6768"/>
    <cellStyle name="Обычный 2 2 2 3 3 3 6 3 3" xfId="6769"/>
    <cellStyle name="Обычный 2 2 2 3 3 3 6 4" xfId="6770"/>
    <cellStyle name="Обычный 2 2 2 3 3 3 6 5" xfId="6771"/>
    <cellStyle name="Обычный 2 2 2 3 3 3 7" xfId="6772"/>
    <cellStyle name="Обычный 2 2 2 3 3 3 7 2" xfId="6773"/>
    <cellStyle name="Обычный 2 2 2 3 3 3 7 2 2" xfId="6774"/>
    <cellStyle name="Обычный 2 2 2 3 3 3 7 2 3" xfId="6775"/>
    <cellStyle name="Обычный 2 2 2 3 3 3 7 3" xfId="6776"/>
    <cellStyle name="Обычный 2 2 2 3 3 3 7 4" xfId="6777"/>
    <cellStyle name="Обычный 2 2 2 3 3 3 8" xfId="6778"/>
    <cellStyle name="Обычный 2 2 2 3 3 3 8 2" xfId="6779"/>
    <cellStyle name="Обычный 2 2 2 3 3 3 8 3" xfId="6780"/>
    <cellStyle name="Обычный 2 2 2 3 3 3 9" xfId="6781"/>
    <cellStyle name="Обычный 2 2 2 3 3 3_Расчет  30 млн_Технополис  Коренькова" xfId="6782"/>
    <cellStyle name="Обычный 2 2 2 3 3 4" xfId="6783"/>
    <cellStyle name="Обычный 2 2 2 3 3 4 10" xfId="6784"/>
    <cellStyle name="Обычный 2 2 2 3 3 4 2" xfId="6785"/>
    <cellStyle name="Обычный 2 2 2 3 3 4 2 2" xfId="6786"/>
    <cellStyle name="Обычный 2 2 2 3 3 4 2 2 2" xfId="6787"/>
    <cellStyle name="Обычный 2 2 2 3 3 4 2 2 2 2" xfId="6788"/>
    <cellStyle name="Обычный 2 2 2 3 3 4 2 2 2 3" xfId="6789"/>
    <cellStyle name="Обычный 2 2 2 3 3 4 2 2 3" xfId="6790"/>
    <cellStyle name="Обычный 2 2 2 3 3 4 2 2 4" xfId="6791"/>
    <cellStyle name="Обычный 2 2 2 3 3 4 2 3" xfId="6792"/>
    <cellStyle name="Обычный 2 2 2 3 3 4 2 3 2" xfId="6793"/>
    <cellStyle name="Обычный 2 2 2 3 3 4 2 3 3" xfId="6794"/>
    <cellStyle name="Обычный 2 2 2 3 3 4 2 4" xfId="6795"/>
    <cellStyle name="Обычный 2 2 2 3 3 4 2 5" xfId="6796"/>
    <cellStyle name="Обычный 2 2 2 3 3 4 3" xfId="6797"/>
    <cellStyle name="Обычный 2 2 2 3 3 4 3 2" xfId="6798"/>
    <cellStyle name="Обычный 2 2 2 3 3 4 3 2 2" xfId="6799"/>
    <cellStyle name="Обычный 2 2 2 3 3 4 3 2 2 2" xfId="6800"/>
    <cellStyle name="Обычный 2 2 2 3 3 4 3 2 2 3" xfId="6801"/>
    <cellStyle name="Обычный 2 2 2 3 3 4 3 2 3" xfId="6802"/>
    <cellStyle name="Обычный 2 2 2 3 3 4 3 2 4" xfId="6803"/>
    <cellStyle name="Обычный 2 2 2 3 3 4 3 3" xfId="6804"/>
    <cellStyle name="Обычный 2 2 2 3 3 4 3 3 2" xfId="6805"/>
    <cellStyle name="Обычный 2 2 2 3 3 4 3 3 3" xfId="6806"/>
    <cellStyle name="Обычный 2 2 2 3 3 4 3 4" xfId="6807"/>
    <cellStyle name="Обычный 2 2 2 3 3 4 3 5" xfId="6808"/>
    <cellStyle name="Обычный 2 2 2 3 3 4 4" xfId="6809"/>
    <cellStyle name="Обычный 2 2 2 3 3 4 4 2" xfId="6810"/>
    <cellStyle name="Обычный 2 2 2 3 3 4 4 2 2" xfId="6811"/>
    <cellStyle name="Обычный 2 2 2 3 3 4 4 2 2 2" xfId="6812"/>
    <cellStyle name="Обычный 2 2 2 3 3 4 4 2 2 3" xfId="6813"/>
    <cellStyle name="Обычный 2 2 2 3 3 4 4 2 3" xfId="6814"/>
    <cellStyle name="Обычный 2 2 2 3 3 4 4 2 4" xfId="6815"/>
    <cellStyle name="Обычный 2 2 2 3 3 4 4 3" xfId="6816"/>
    <cellStyle name="Обычный 2 2 2 3 3 4 4 3 2" xfId="6817"/>
    <cellStyle name="Обычный 2 2 2 3 3 4 4 3 3" xfId="6818"/>
    <cellStyle name="Обычный 2 2 2 3 3 4 4 4" xfId="6819"/>
    <cellStyle name="Обычный 2 2 2 3 3 4 4 5" xfId="6820"/>
    <cellStyle name="Обычный 2 2 2 3 3 4 5" xfId="6821"/>
    <cellStyle name="Обычный 2 2 2 3 3 4 5 2" xfId="6822"/>
    <cellStyle name="Обычный 2 2 2 3 3 4 5 2 2" xfId="6823"/>
    <cellStyle name="Обычный 2 2 2 3 3 4 5 2 2 2" xfId="6824"/>
    <cellStyle name="Обычный 2 2 2 3 3 4 5 2 2 3" xfId="6825"/>
    <cellStyle name="Обычный 2 2 2 3 3 4 5 2 3" xfId="6826"/>
    <cellStyle name="Обычный 2 2 2 3 3 4 5 2 4" xfId="6827"/>
    <cellStyle name="Обычный 2 2 2 3 3 4 5 3" xfId="6828"/>
    <cellStyle name="Обычный 2 2 2 3 3 4 5 3 2" xfId="6829"/>
    <cellStyle name="Обычный 2 2 2 3 3 4 5 3 3" xfId="6830"/>
    <cellStyle name="Обычный 2 2 2 3 3 4 5 4" xfId="6831"/>
    <cellStyle name="Обычный 2 2 2 3 3 4 5 5" xfId="6832"/>
    <cellStyle name="Обычный 2 2 2 3 3 4 6" xfId="6833"/>
    <cellStyle name="Обычный 2 2 2 3 3 4 6 2" xfId="6834"/>
    <cellStyle name="Обычный 2 2 2 3 3 4 6 2 2" xfId="6835"/>
    <cellStyle name="Обычный 2 2 2 3 3 4 6 2 2 2" xfId="6836"/>
    <cellStyle name="Обычный 2 2 2 3 3 4 6 2 2 3" xfId="6837"/>
    <cellStyle name="Обычный 2 2 2 3 3 4 6 2 3" xfId="6838"/>
    <cellStyle name="Обычный 2 2 2 3 3 4 6 2 4" xfId="6839"/>
    <cellStyle name="Обычный 2 2 2 3 3 4 6 3" xfId="6840"/>
    <cellStyle name="Обычный 2 2 2 3 3 4 6 3 2" xfId="6841"/>
    <cellStyle name="Обычный 2 2 2 3 3 4 6 3 3" xfId="6842"/>
    <cellStyle name="Обычный 2 2 2 3 3 4 6 4" xfId="6843"/>
    <cellStyle name="Обычный 2 2 2 3 3 4 6 5" xfId="6844"/>
    <cellStyle name="Обычный 2 2 2 3 3 4 7" xfId="6845"/>
    <cellStyle name="Обычный 2 2 2 3 3 4 7 2" xfId="6846"/>
    <cellStyle name="Обычный 2 2 2 3 3 4 7 2 2" xfId="6847"/>
    <cellStyle name="Обычный 2 2 2 3 3 4 7 2 3" xfId="6848"/>
    <cellStyle name="Обычный 2 2 2 3 3 4 7 3" xfId="6849"/>
    <cellStyle name="Обычный 2 2 2 3 3 4 7 4" xfId="6850"/>
    <cellStyle name="Обычный 2 2 2 3 3 4 8" xfId="6851"/>
    <cellStyle name="Обычный 2 2 2 3 3 4 8 2" xfId="6852"/>
    <cellStyle name="Обычный 2 2 2 3 3 4 8 3" xfId="6853"/>
    <cellStyle name="Обычный 2 2 2 3 3 4 9" xfId="6854"/>
    <cellStyle name="Обычный 2 2 2 3 3 4_Расчет  30 млн_Технополис  Коренькова" xfId="6855"/>
    <cellStyle name="Обычный 2 2 2 3 3 5" xfId="6856"/>
    <cellStyle name="Обычный 2 2 2 3 3 5 2" xfId="6857"/>
    <cellStyle name="Обычный 2 2 2 3 3 5 2 2" xfId="6858"/>
    <cellStyle name="Обычный 2 2 2 3 3 5 2 2 2" xfId="6859"/>
    <cellStyle name="Обычный 2 2 2 3 3 5 2 2 3" xfId="6860"/>
    <cellStyle name="Обычный 2 2 2 3 3 5 2 3" xfId="6861"/>
    <cellStyle name="Обычный 2 2 2 3 3 5 2 4" xfId="6862"/>
    <cellStyle name="Обычный 2 2 2 3 3 5 3" xfId="6863"/>
    <cellStyle name="Обычный 2 2 2 3 3 5 3 2" xfId="6864"/>
    <cellStyle name="Обычный 2 2 2 3 3 5 3 3" xfId="6865"/>
    <cellStyle name="Обычный 2 2 2 3 3 5 4" xfId="6866"/>
    <cellStyle name="Обычный 2 2 2 3 3 5 5" xfId="6867"/>
    <cellStyle name="Обычный 2 2 2 3 3 6" xfId="6868"/>
    <cellStyle name="Обычный 2 2 2 3 3 6 2" xfId="6869"/>
    <cellStyle name="Обычный 2 2 2 3 3 6 2 2" xfId="6870"/>
    <cellStyle name="Обычный 2 2 2 3 3 6 2 2 2" xfId="6871"/>
    <cellStyle name="Обычный 2 2 2 3 3 6 2 2 3" xfId="6872"/>
    <cellStyle name="Обычный 2 2 2 3 3 6 2 3" xfId="6873"/>
    <cellStyle name="Обычный 2 2 2 3 3 6 2 4" xfId="6874"/>
    <cellStyle name="Обычный 2 2 2 3 3 6 3" xfId="6875"/>
    <cellStyle name="Обычный 2 2 2 3 3 6 3 2" xfId="6876"/>
    <cellStyle name="Обычный 2 2 2 3 3 6 3 3" xfId="6877"/>
    <cellStyle name="Обычный 2 2 2 3 3 6 4" xfId="6878"/>
    <cellStyle name="Обычный 2 2 2 3 3 6 5" xfId="6879"/>
    <cellStyle name="Обычный 2 2 2 3 3 7" xfId="6880"/>
    <cellStyle name="Обычный 2 2 2 3 3 7 2" xfId="6881"/>
    <cellStyle name="Обычный 2 2 2 3 3 7 2 2" xfId="6882"/>
    <cellStyle name="Обычный 2 2 2 3 3 7 2 2 2" xfId="6883"/>
    <cellStyle name="Обычный 2 2 2 3 3 7 2 2 3" xfId="6884"/>
    <cellStyle name="Обычный 2 2 2 3 3 7 2 3" xfId="6885"/>
    <cellStyle name="Обычный 2 2 2 3 3 7 2 4" xfId="6886"/>
    <cellStyle name="Обычный 2 2 2 3 3 7 3" xfId="6887"/>
    <cellStyle name="Обычный 2 2 2 3 3 7 3 2" xfId="6888"/>
    <cellStyle name="Обычный 2 2 2 3 3 7 3 3" xfId="6889"/>
    <cellStyle name="Обычный 2 2 2 3 3 7 4" xfId="6890"/>
    <cellStyle name="Обычный 2 2 2 3 3 7 5" xfId="6891"/>
    <cellStyle name="Обычный 2 2 2 3 3 8" xfId="6892"/>
    <cellStyle name="Обычный 2 2 2 3 3 8 2" xfId="6893"/>
    <cellStyle name="Обычный 2 2 2 3 3 8 2 2" xfId="6894"/>
    <cellStyle name="Обычный 2 2 2 3 3 8 2 2 2" xfId="6895"/>
    <cellStyle name="Обычный 2 2 2 3 3 8 2 2 3" xfId="6896"/>
    <cellStyle name="Обычный 2 2 2 3 3 8 2 3" xfId="6897"/>
    <cellStyle name="Обычный 2 2 2 3 3 8 2 4" xfId="6898"/>
    <cellStyle name="Обычный 2 2 2 3 3 8 3" xfId="6899"/>
    <cellStyle name="Обычный 2 2 2 3 3 8 3 2" xfId="6900"/>
    <cellStyle name="Обычный 2 2 2 3 3 8 3 3" xfId="6901"/>
    <cellStyle name="Обычный 2 2 2 3 3 8 4" xfId="6902"/>
    <cellStyle name="Обычный 2 2 2 3 3 8 5" xfId="6903"/>
    <cellStyle name="Обычный 2 2 2 3 3 9" xfId="6904"/>
    <cellStyle name="Обычный 2 2 2 3 3 9 2" xfId="6905"/>
    <cellStyle name="Обычный 2 2 2 3 3 9 2 2" xfId="6906"/>
    <cellStyle name="Обычный 2 2 2 3 3 9 2 2 2" xfId="6907"/>
    <cellStyle name="Обычный 2 2 2 3 3 9 2 2 3" xfId="6908"/>
    <cellStyle name="Обычный 2 2 2 3 3 9 2 3" xfId="6909"/>
    <cellStyle name="Обычный 2 2 2 3 3 9 2 4" xfId="6910"/>
    <cellStyle name="Обычный 2 2 2 3 3 9 3" xfId="6911"/>
    <cellStyle name="Обычный 2 2 2 3 3 9 3 2" xfId="6912"/>
    <cellStyle name="Обычный 2 2 2 3 3 9 3 3" xfId="6913"/>
    <cellStyle name="Обычный 2 2 2 3 3 9 4" xfId="6914"/>
    <cellStyle name="Обычный 2 2 2 3 3 9 5" xfId="6915"/>
    <cellStyle name="Обычный 2 2 2 3 3_1 ВАР. КП 1 293  +8пропорцЛара" xfId="6916"/>
    <cellStyle name="Обычный 2 2 2 3 4" xfId="6917"/>
    <cellStyle name="Обычный 2 2 2 3 4 10" xfId="6918"/>
    <cellStyle name="Обычный 2 2 2 3 4 2" xfId="6919"/>
    <cellStyle name="Обычный 2 2 2 3 4 2 2" xfId="6920"/>
    <cellStyle name="Обычный 2 2 2 3 4 2 2 2" xfId="6921"/>
    <cellStyle name="Обычный 2 2 2 3 4 2 2 2 2" xfId="6922"/>
    <cellStyle name="Обычный 2 2 2 3 4 2 2 2 3" xfId="6923"/>
    <cellStyle name="Обычный 2 2 2 3 4 2 2 3" xfId="6924"/>
    <cellStyle name="Обычный 2 2 2 3 4 2 2 4" xfId="6925"/>
    <cellStyle name="Обычный 2 2 2 3 4 2 3" xfId="6926"/>
    <cellStyle name="Обычный 2 2 2 3 4 2 3 2" xfId="6927"/>
    <cellStyle name="Обычный 2 2 2 3 4 2 3 3" xfId="6928"/>
    <cellStyle name="Обычный 2 2 2 3 4 2 4" xfId="6929"/>
    <cellStyle name="Обычный 2 2 2 3 4 2 5" xfId="6930"/>
    <cellStyle name="Обычный 2 2 2 3 4 3" xfId="6931"/>
    <cellStyle name="Обычный 2 2 2 3 4 3 2" xfId="6932"/>
    <cellStyle name="Обычный 2 2 2 3 4 3 2 2" xfId="6933"/>
    <cellStyle name="Обычный 2 2 2 3 4 3 2 2 2" xfId="6934"/>
    <cellStyle name="Обычный 2 2 2 3 4 3 2 2 3" xfId="6935"/>
    <cellStyle name="Обычный 2 2 2 3 4 3 2 3" xfId="6936"/>
    <cellStyle name="Обычный 2 2 2 3 4 3 2 4" xfId="6937"/>
    <cellStyle name="Обычный 2 2 2 3 4 3 3" xfId="6938"/>
    <cellStyle name="Обычный 2 2 2 3 4 3 3 2" xfId="6939"/>
    <cellStyle name="Обычный 2 2 2 3 4 3 3 3" xfId="6940"/>
    <cellStyle name="Обычный 2 2 2 3 4 3 4" xfId="6941"/>
    <cellStyle name="Обычный 2 2 2 3 4 3 5" xfId="6942"/>
    <cellStyle name="Обычный 2 2 2 3 4 4" xfId="6943"/>
    <cellStyle name="Обычный 2 2 2 3 4 4 2" xfId="6944"/>
    <cellStyle name="Обычный 2 2 2 3 4 4 2 2" xfId="6945"/>
    <cellStyle name="Обычный 2 2 2 3 4 4 2 2 2" xfId="6946"/>
    <cellStyle name="Обычный 2 2 2 3 4 4 2 2 3" xfId="6947"/>
    <cellStyle name="Обычный 2 2 2 3 4 4 2 3" xfId="6948"/>
    <cellStyle name="Обычный 2 2 2 3 4 4 2 4" xfId="6949"/>
    <cellStyle name="Обычный 2 2 2 3 4 4 3" xfId="6950"/>
    <cellStyle name="Обычный 2 2 2 3 4 4 3 2" xfId="6951"/>
    <cellStyle name="Обычный 2 2 2 3 4 4 3 3" xfId="6952"/>
    <cellStyle name="Обычный 2 2 2 3 4 4 4" xfId="6953"/>
    <cellStyle name="Обычный 2 2 2 3 4 4 5" xfId="6954"/>
    <cellStyle name="Обычный 2 2 2 3 4 5" xfId="6955"/>
    <cellStyle name="Обычный 2 2 2 3 4 5 2" xfId="6956"/>
    <cellStyle name="Обычный 2 2 2 3 4 5 2 2" xfId="6957"/>
    <cellStyle name="Обычный 2 2 2 3 4 5 2 2 2" xfId="6958"/>
    <cellStyle name="Обычный 2 2 2 3 4 5 2 2 3" xfId="6959"/>
    <cellStyle name="Обычный 2 2 2 3 4 5 2 3" xfId="6960"/>
    <cellStyle name="Обычный 2 2 2 3 4 5 2 4" xfId="6961"/>
    <cellStyle name="Обычный 2 2 2 3 4 5 3" xfId="6962"/>
    <cellStyle name="Обычный 2 2 2 3 4 5 3 2" xfId="6963"/>
    <cellStyle name="Обычный 2 2 2 3 4 5 3 3" xfId="6964"/>
    <cellStyle name="Обычный 2 2 2 3 4 5 4" xfId="6965"/>
    <cellStyle name="Обычный 2 2 2 3 4 5 5" xfId="6966"/>
    <cellStyle name="Обычный 2 2 2 3 4 6" xfId="6967"/>
    <cellStyle name="Обычный 2 2 2 3 4 6 2" xfId="6968"/>
    <cellStyle name="Обычный 2 2 2 3 4 6 2 2" xfId="6969"/>
    <cellStyle name="Обычный 2 2 2 3 4 6 2 2 2" xfId="6970"/>
    <cellStyle name="Обычный 2 2 2 3 4 6 2 2 3" xfId="6971"/>
    <cellStyle name="Обычный 2 2 2 3 4 6 2 3" xfId="6972"/>
    <cellStyle name="Обычный 2 2 2 3 4 6 2 4" xfId="6973"/>
    <cellStyle name="Обычный 2 2 2 3 4 6 3" xfId="6974"/>
    <cellStyle name="Обычный 2 2 2 3 4 6 3 2" xfId="6975"/>
    <cellStyle name="Обычный 2 2 2 3 4 6 3 3" xfId="6976"/>
    <cellStyle name="Обычный 2 2 2 3 4 6 4" xfId="6977"/>
    <cellStyle name="Обычный 2 2 2 3 4 6 5" xfId="6978"/>
    <cellStyle name="Обычный 2 2 2 3 4 7" xfId="6979"/>
    <cellStyle name="Обычный 2 2 2 3 4 7 2" xfId="6980"/>
    <cellStyle name="Обычный 2 2 2 3 4 7 2 2" xfId="6981"/>
    <cellStyle name="Обычный 2 2 2 3 4 7 2 3" xfId="6982"/>
    <cellStyle name="Обычный 2 2 2 3 4 7 3" xfId="6983"/>
    <cellStyle name="Обычный 2 2 2 3 4 7 4" xfId="6984"/>
    <cellStyle name="Обычный 2 2 2 3 4 8" xfId="6985"/>
    <cellStyle name="Обычный 2 2 2 3 4 8 2" xfId="6986"/>
    <cellStyle name="Обычный 2 2 2 3 4 8 3" xfId="6987"/>
    <cellStyle name="Обычный 2 2 2 3 4 9" xfId="6988"/>
    <cellStyle name="Обычный 2 2 2 3 4_Расчет  30 млн_Технополис  Коренькова" xfId="6989"/>
    <cellStyle name="Обычный 2 2 2 3 5" xfId="6990"/>
    <cellStyle name="Обычный 2 2 2 3 5 10" xfId="6991"/>
    <cellStyle name="Обычный 2 2 2 3 5 2" xfId="6992"/>
    <cellStyle name="Обычный 2 2 2 3 5 2 2" xfId="6993"/>
    <cellStyle name="Обычный 2 2 2 3 5 2 2 2" xfId="6994"/>
    <cellStyle name="Обычный 2 2 2 3 5 2 2 2 2" xfId="6995"/>
    <cellStyle name="Обычный 2 2 2 3 5 2 2 2 3" xfId="6996"/>
    <cellStyle name="Обычный 2 2 2 3 5 2 2 3" xfId="6997"/>
    <cellStyle name="Обычный 2 2 2 3 5 2 2 4" xfId="6998"/>
    <cellStyle name="Обычный 2 2 2 3 5 2 3" xfId="6999"/>
    <cellStyle name="Обычный 2 2 2 3 5 2 3 2" xfId="7000"/>
    <cellStyle name="Обычный 2 2 2 3 5 2 3 3" xfId="7001"/>
    <cellStyle name="Обычный 2 2 2 3 5 2 4" xfId="7002"/>
    <cellStyle name="Обычный 2 2 2 3 5 2 5" xfId="7003"/>
    <cellStyle name="Обычный 2 2 2 3 5 3" xfId="7004"/>
    <cellStyle name="Обычный 2 2 2 3 5 3 2" xfId="7005"/>
    <cellStyle name="Обычный 2 2 2 3 5 3 2 2" xfId="7006"/>
    <cellStyle name="Обычный 2 2 2 3 5 3 2 2 2" xfId="7007"/>
    <cellStyle name="Обычный 2 2 2 3 5 3 2 2 3" xfId="7008"/>
    <cellStyle name="Обычный 2 2 2 3 5 3 2 3" xfId="7009"/>
    <cellStyle name="Обычный 2 2 2 3 5 3 2 4" xfId="7010"/>
    <cellStyle name="Обычный 2 2 2 3 5 3 3" xfId="7011"/>
    <cellStyle name="Обычный 2 2 2 3 5 3 3 2" xfId="7012"/>
    <cellStyle name="Обычный 2 2 2 3 5 3 3 3" xfId="7013"/>
    <cellStyle name="Обычный 2 2 2 3 5 3 4" xfId="7014"/>
    <cellStyle name="Обычный 2 2 2 3 5 3 5" xfId="7015"/>
    <cellStyle name="Обычный 2 2 2 3 5 4" xfId="7016"/>
    <cellStyle name="Обычный 2 2 2 3 5 4 2" xfId="7017"/>
    <cellStyle name="Обычный 2 2 2 3 5 4 2 2" xfId="7018"/>
    <cellStyle name="Обычный 2 2 2 3 5 4 2 2 2" xfId="7019"/>
    <cellStyle name="Обычный 2 2 2 3 5 4 2 2 3" xfId="7020"/>
    <cellStyle name="Обычный 2 2 2 3 5 4 2 3" xfId="7021"/>
    <cellStyle name="Обычный 2 2 2 3 5 4 2 4" xfId="7022"/>
    <cellStyle name="Обычный 2 2 2 3 5 4 3" xfId="7023"/>
    <cellStyle name="Обычный 2 2 2 3 5 4 3 2" xfId="7024"/>
    <cellStyle name="Обычный 2 2 2 3 5 4 3 3" xfId="7025"/>
    <cellStyle name="Обычный 2 2 2 3 5 4 4" xfId="7026"/>
    <cellStyle name="Обычный 2 2 2 3 5 4 5" xfId="7027"/>
    <cellStyle name="Обычный 2 2 2 3 5 5" xfId="7028"/>
    <cellStyle name="Обычный 2 2 2 3 5 5 2" xfId="7029"/>
    <cellStyle name="Обычный 2 2 2 3 5 5 2 2" xfId="7030"/>
    <cellStyle name="Обычный 2 2 2 3 5 5 2 2 2" xfId="7031"/>
    <cellStyle name="Обычный 2 2 2 3 5 5 2 2 3" xfId="7032"/>
    <cellStyle name="Обычный 2 2 2 3 5 5 2 3" xfId="7033"/>
    <cellStyle name="Обычный 2 2 2 3 5 5 2 4" xfId="7034"/>
    <cellStyle name="Обычный 2 2 2 3 5 5 3" xfId="7035"/>
    <cellStyle name="Обычный 2 2 2 3 5 5 3 2" xfId="7036"/>
    <cellStyle name="Обычный 2 2 2 3 5 5 3 3" xfId="7037"/>
    <cellStyle name="Обычный 2 2 2 3 5 5 4" xfId="7038"/>
    <cellStyle name="Обычный 2 2 2 3 5 5 5" xfId="7039"/>
    <cellStyle name="Обычный 2 2 2 3 5 6" xfId="7040"/>
    <cellStyle name="Обычный 2 2 2 3 5 6 2" xfId="7041"/>
    <cellStyle name="Обычный 2 2 2 3 5 6 2 2" xfId="7042"/>
    <cellStyle name="Обычный 2 2 2 3 5 6 2 2 2" xfId="7043"/>
    <cellStyle name="Обычный 2 2 2 3 5 6 2 2 3" xfId="7044"/>
    <cellStyle name="Обычный 2 2 2 3 5 6 2 3" xfId="7045"/>
    <cellStyle name="Обычный 2 2 2 3 5 6 2 4" xfId="7046"/>
    <cellStyle name="Обычный 2 2 2 3 5 6 3" xfId="7047"/>
    <cellStyle name="Обычный 2 2 2 3 5 6 3 2" xfId="7048"/>
    <cellStyle name="Обычный 2 2 2 3 5 6 3 3" xfId="7049"/>
    <cellStyle name="Обычный 2 2 2 3 5 6 4" xfId="7050"/>
    <cellStyle name="Обычный 2 2 2 3 5 6 5" xfId="7051"/>
    <cellStyle name="Обычный 2 2 2 3 5 7" xfId="7052"/>
    <cellStyle name="Обычный 2 2 2 3 5 7 2" xfId="7053"/>
    <cellStyle name="Обычный 2 2 2 3 5 7 2 2" xfId="7054"/>
    <cellStyle name="Обычный 2 2 2 3 5 7 2 3" xfId="7055"/>
    <cellStyle name="Обычный 2 2 2 3 5 7 3" xfId="7056"/>
    <cellStyle name="Обычный 2 2 2 3 5 7 4" xfId="7057"/>
    <cellStyle name="Обычный 2 2 2 3 5 8" xfId="7058"/>
    <cellStyle name="Обычный 2 2 2 3 5 8 2" xfId="7059"/>
    <cellStyle name="Обычный 2 2 2 3 5 8 3" xfId="7060"/>
    <cellStyle name="Обычный 2 2 2 3 5 9" xfId="7061"/>
    <cellStyle name="Обычный 2 2 2 3 5_Расчет  30 млн_Технополис  Коренькова" xfId="7062"/>
    <cellStyle name="Обычный 2 2 2 3 6" xfId="7063"/>
    <cellStyle name="Обычный 2 2 2 3 6 10" xfId="7064"/>
    <cellStyle name="Обычный 2 2 2 3 6 2" xfId="7065"/>
    <cellStyle name="Обычный 2 2 2 3 6 2 2" xfId="7066"/>
    <cellStyle name="Обычный 2 2 2 3 6 2 2 2" xfId="7067"/>
    <cellStyle name="Обычный 2 2 2 3 6 2 2 2 2" xfId="7068"/>
    <cellStyle name="Обычный 2 2 2 3 6 2 2 2 3" xfId="7069"/>
    <cellStyle name="Обычный 2 2 2 3 6 2 2 3" xfId="7070"/>
    <cellStyle name="Обычный 2 2 2 3 6 2 2 4" xfId="7071"/>
    <cellStyle name="Обычный 2 2 2 3 6 2 3" xfId="7072"/>
    <cellStyle name="Обычный 2 2 2 3 6 2 3 2" xfId="7073"/>
    <cellStyle name="Обычный 2 2 2 3 6 2 3 3" xfId="7074"/>
    <cellStyle name="Обычный 2 2 2 3 6 2 4" xfId="7075"/>
    <cellStyle name="Обычный 2 2 2 3 6 2 5" xfId="7076"/>
    <cellStyle name="Обычный 2 2 2 3 6 3" xfId="7077"/>
    <cellStyle name="Обычный 2 2 2 3 6 3 2" xfId="7078"/>
    <cellStyle name="Обычный 2 2 2 3 6 3 2 2" xfId="7079"/>
    <cellStyle name="Обычный 2 2 2 3 6 3 2 2 2" xfId="7080"/>
    <cellStyle name="Обычный 2 2 2 3 6 3 2 2 3" xfId="7081"/>
    <cellStyle name="Обычный 2 2 2 3 6 3 2 3" xfId="7082"/>
    <cellStyle name="Обычный 2 2 2 3 6 3 2 4" xfId="7083"/>
    <cellStyle name="Обычный 2 2 2 3 6 3 3" xfId="7084"/>
    <cellStyle name="Обычный 2 2 2 3 6 3 3 2" xfId="7085"/>
    <cellStyle name="Обычный 2 2 2 3 6 3 3 3" xfId="7086"/>
    <cellStyle name="Обычный 2 2 2 3 6 3 4" xfId="7087"/>
    <cellStyle name="Обычный 2 2 2 3 6 3 5" xfId="7088"/>
    <cellStyle name="Обычный 2 2 2 3 6 4" xfId="7089"/>
    <cellStyle name="Обычный 2 2 2 3 6 4 2" xfId="7090"/>
    <cellStyle name="Обычный 2 2 2 3 6 4 2 2" xfId="7091"/>
    <cellStyle name="Обычный 2 2 2 3 6 4 2 2 2" xfId="7092"/>
    <cellStyle name="Обычный 2 2 2 3 6 4 2 2 3" xfId="7093"/>
    <cellStyle name="Обычный 2 2 2 3 6 4 2 3" xfId="7094"/>
    <cellStyle name="Обычный 2 2 2 3 6 4 2 4" xfId="7095"/>
    <cellStyle name="Обычный 2 2 2 3 6 4 3" xfId="7096"/>
    <cellStyle name="Обычный 2 2 2 3 6 4 3 2" xfId="7097"/>
    <cellStyle name="Обычный 2 2 2 3 6 4 3 3" xfId="7098"/>
    <cellStyle name="Обычный 2 2 2 3 6 4 4" xfId="7099"/>
    <cellStyle name="Обычный 2 2 2 3 6 4 5" xfId="7100"/>
    <cellStyle name="Обычный 2 2 2 3 6 5" xfId="7101"/>
    <cellStyle name="Обычный 2 2 2 3 6 5 2" xfId="7102"/>
    <cellStyle name="Обычный 2 2 2 3 6 5 2 2" xfId="7103"/>
    <cellStyle name="Обычный 2 2 2 3 6 5 2 2 2" xfId="7104"/>
    <cellStyle name="Обычный 2 2 2 3 6 5 2 2 3" xfId="7105"/>
    <cellStyle name="Обычный 2 2 2 3 6 5 2 3" xfId="7106"/>
    <cellStyle name="Обычный 2 2 2 3 6 5 2 4" xfId="7107"/>
    <cellStyle name="Обычный 2 2 2 3 6 5 3" xfId="7108"/>
    <cellStyle name="Обычный 2 2 2 3 6 5 3 2" xfId="7109"/>
    <cellStyle name="Обычный 2 2 2 3 6 5 3 3" xfId="7110"/>
    <cellStyle name="Обычный 2 2 2 3 6 5 4" xfId="7111"/>
    <cellStyle name="Обычный 2 2 2 3 6 5 5" xfId="7112"/>
    <cellStyle name="Обычный 2 2 2 3 6 6" xfId="7113"/>
    <cellStyle name="Обычный 2 2 2 3 6 6 2" xfId="7114"/>
    <cellStyle name="Обычный 2 2 2 3 6 6 2 2" xfId="7115"/>
    <cellStyle name="Обычный 2 2 2 3 6 6 2 2 2" xfId="7116"/>
    <cellStyle name="Обычный 2 2 2 3 6 6 2 2 3" xfId="7117"/>
    <cellStyle name="Обычный 2 2 2 3 6 6 2 3" xfId="7118"/>
    <cellStyle name="Обычный 2 2 2 3 6 6 2 4" xfId="7119"/>
    <cellStyle name="Обычный 2 2 2 3 6 6 3" xfId="7120"/>
    <cellStyle name="Обычный 2 2 2 3 6 6 3 2" xfId="7121"/>
    <cellStyle name="Обычный 2 2 2 3 6 6 3 3" xfId="7122"/>
    <cellStyle name="Обычный 2 2 2 3 6 6 4" xfId="7123"/>
    <cellStyle name="Обычный 2 2 2 3 6 6 5" xfId="7124"/>
    <cellStyle name="Обычный 2 2 2 3 6 7" xfId="7125"/>
    <cellStyle name="Обычный 2 2 2 3 6 7 2" xfId="7126"/>
    <cellStyle name="Обычный 2 2 2 3 6 7 2 2" xfId="7127"/>
    <cellStyle name="Обычный 2 2 2 3 6 7 2 3" xfId="7128"/>
    <cellStyle name="Обычный 2 2 2 3 6 7 3" xfId="7129"/>
    <cellStyle name="Обычный 2 2 2 3 6 7 4" xfId="7130"/>
    <cellStyle name="Обычный 2 2 2 3 6 8" xfId="7131"/>
    <cellStyle name="Обычный 2 2 2 3 6 8 2" xfId="7132"/>
    <cellStyle name="Обычный 2 2 2 3 6 8 3" xfId="7133"/>
    <cellStyle name="Обычный 2 2 2 3 6 9" xfId="7134"/>
    <cellStyle name="Обычный 2 2 2 3 6_Расчет  30 млн_Технополис  Коренькова" xfId="7135"/>
    <cellStyle name="Обычный 2 2 2 3 7" xfId="7136"/>
    <cellStyle name="Обычный 2 2 2 3 7 10" xfId="7137"/>
    <cellStyle name="Обычный 2 2 2 3 7 2" xfId="7138"/>
    <cellStyle name="Обычный 2 2 2 3 7 2 2" xfId="7139"/>
    <cellStyle name="Обычный 2 2 2 3 7 2 2 2" xfId="7140"/>
    <cellStyle name="Обычный 2 2 2 3 7 2 2 2 2" xfId="7141"/>
    <cellStyle name="Обычный 2 2 2 3 7 2 2 2 3" xfId="7142"/>
    <cellStyle name="Обычный 2 2 2 3 7 2 2 3" xfId="7143"/>
    <cellStyle name="Обычный 2 2 2 3 7 2 2 4" xfId="7144"/>
    <cellStyle name="Обычный 2 2 2 3 7 2 3" xfId="7145"/>
    <cellStyle name="Обычный 2 2 2 3 7 2 3 2" xfId="7146"/>
    <cellStyle name="Обычный 2 2 2 3 7 2 3 3" xfId="7147"/>
    <cellStyle name="Обычный 2 2 2 3 7 2 4" xfId="7148"/>
    <cellStyle name="Обычный 2 2 2 3 7 2 5" xfId="7149"/>
    <cellStyle name="Обычный 2 2 2 3 7 3" xfId="7150"/>
    <cellStyle name="Обычный 2 2 2 3 7 3 2" xfId="7151"/>
    <cellStyle name="Обычный 2 2 2 3 7 3 2 2" xfId="7152"/>
    <cellStyle name="Обычный 2 2 2 3 7 3 2 2 2" xfId="7153"/>
    <cellStyle name="Обычный 2 2 2 3 7 3 2 2 3" xfId="7154"/>
    <cellStyle name="Обычный 2 2 2 3 7 3 2 3" xfId="7155"/>
    <cellStyle name="Обычный 2 2 2 3 7 3 2 4" xfId="7156"/>
    <cellStyle name="Обычный 2 2 2 3 7 3 3" xfId="7157"/>
    <cellStyle name="Обычный 2 2 2 3 7 3 3 2" xfId="7158"/>
    <cellStyle name="Обычный 2 2 2 3 7 3 3 3" xfId="7159"/>
    <cellStyle name="Обычный 2 2 2 3 7 3 4" xfId="7160"/>
    <cellStyle name="Обычный 2 2 2 3 7 3 5" xfId="7161"/>
    <cellStyle name="Обычный 2 2 2 3 7 4" xfId="7162"/>
    <cellStyle name="Обычный 2 2 2 3 7 4 2" xfId="7163"/>
    <cellStyle name="Обычный 2 2 2 3 7 4 2 2" xfId="7164"/>
    <cellStyle name="Обычный 2 2 2 3 7 4 2 2 2" xfId="7165"/>
    <cellStyle name="Обычный 2 2 2 3 7 4 2 2 3" xfId="7166"/>
    <cellStyle name="Обычный 2 2 2 3 7 4 2 3" xfId="7167"/>
    <cellStyle name="Обычный 2 2 2 3 7 4 2 4" xfId="7168"/>
    <cellStyle name="Обычный 2 2 2 3 7 4 3" xfId="7169"/>
    <cellStyle name="Обычный 2 2 2 3 7 4 3 2" xfId="7170"/>
    <cellStyle name="Обычный 2 2 2 3 7 4 3 3" xfId="7171"/>
    <cellStyle name="Обычный 2 2 2 3 7 4 4" xfId="7172"/>
    <cellStyle name="Обычный 2 2 2 3 7 4 5" xfId="7173"/>
    <cellStyle name="Обычный 2 2 2 3 7 5" xfId="7174"/>
    <cellStyle name="Обычный 2 2 2 3 7 5 2" xfId="7175"/>
    <cellStyle name="Обычный 2 2 2 3 7 5 2 2" xfId="7176"/>
    <cellStyle name="Обычный 2 2 2 3 7 5 2 2 2" xfId="7177"/>
    <cellStyle name="Обычный 2 2 2 3 7 5 2 2 3" xfId="7178"/>
    <cellStyle name="Обычный 2 2 2 3 7 5 2 3" xfId="7179"/>
    <cellStyle name="Обычный 2 2 2 3 7 5 2 4" xfId="7180"/>
    <cellStyle name="Обычный 2 2 2 3 7 5 3" xfId="7181"/>
    <cellStyle name="Обычный 2 2 2 3 7 5 3 2" xfId="7182"/>
    <cellStyle name="Обычный 2 2 2 3 7 5 3 3" xfId="7183"/>
    <cellStyle name="Обычный 2 2 2 3 7 5 4" xfId="7184"/>
    <cellStyle name="Обычный 2 2 2 3 7 5 5" xfId="7185"/>
    <cellStyle name="Обычный 2 2 2 3 7 6" xfId="7186"/>
    <cellStyle name="Обычный 2 2 2 3 7 6 2" xfId="7187"/>
    <cellStyle name="Обычный 2 2 2 3 7 6 2 2" xfId="7188"/>
    <cellStyle name="Обычный 2 2 2 3 7 6 2 2 2" xfId="7189"/>
    <cellStyle name="Обычный 2 2 2 3 7 6 2 2 3" xfId="7190"/>
    <cellStyle name="Обычный 2 2 2 3 7 6 2 3" xfId="7191"/>
    <cellStyle name="Обычный 2 2 2 3 7 6 2 4" xfId="7192"/>
    <cellStyle name="Обычный 2 2 2 3 7 6 3" xfId="7193"/>
    <cellStyle name="Обычный 2 2 2 3 7 6 3 2" xfId="7194"/>
    <cellStyle name="Обычный 2 2 2 3 7 6 3 3" xfId="7195"/>
    <cellStyle name="Обычный 2 2 2 3 7 6 4" xfId="7196"/>
    <cellStyle name="Обычный 2 2 2 3 7 6 5" xfId="7197"/>
    <cellStyle name="Обычный 2 2 2 3 7 7" xfId="7198"/>
    <cellStyle name="Обычный 2 2 2 3 7 7 2" xfId="7199"/>
    <cellStyle name="Обычный 2 2 2 3 7 7 2 2" xfId="7200"/>
    <cellStyle name="Обычный 2 2 2 3 7 7 2 3" xfId="7201"/>
    <cellStyle name="Обычный 2 2 2 3 7 7 3" xfId="7202"/>
    <cellStyle name="Обычный 2 2 2 3 7 7 4" xfId="7203"/>
    <cellStyle name="Обычный 2 2 2 3 7 8" xfId="7204"/>
    <cellStyle name="Обычный 2 2 2 3 7 8 2" xfId="7205"/>
    <cellStyle name="Обычный 2 2 2 3 7 8 3" xfId="7206"/>
    <cellStyle name="Обычный 2 2 2 3 7 9" xfId="7207"/>
    <cellStyle name="Обычный 2 2 2 3 7_Расчет  30 млн_Технополис  Коренькова" xfId="7208"/>
    <cellStyle name="Обычный 2 2 2 3 8" xfId="7209"/>
    <cellStyle name="Обычный 2 2 2 3 8 10" xfId="7210"/>
    <cellStyle name="Обычный 2 2 2 3 8 2" xfId="7211"/>
    <cellStyle name="Обычный 2 2 2 3 8 2 2" xfId="7212"/>
    <cellStyle name="Обычный 2 2 2 3 8 2 2 2" xfId="7213"/>
    <cellStyle name="Обычный 2 2 2 3 8 2 2 2 2" xfId="7214"/>
    <cellStyle name="Обычный 2 2 2 3 8 2 2 2 3" xfId="7215"/>
    <cellStyle name="Обычный 2 2 2 3 8 2 2 3" xfId="7216"/>
    <cellStyle name="Обычный 2 2 2 3 8 2 2 4" xfId="7217"/>
    <cellStyle name="Обычный 2 2 2 3 8 2 3" xfId="7218"/>
    <cellStyle name="Обычный 2 2 2 3 8 2 3 2" xfId="7219"/>
    <cellStyle name="Обычный 2 2 2 3 8 2 3 3" xfId="7220"/>
    <cellStyle name="Обычный 2 2 2 3 8 2 4" xfId="7221"/>
    <cellStyle name="Обычный 2 2 2 3 8 2 5" xfId="7222"/>
    <cellStyle name="Обычный 2 2 2 3 8 3" xfId="7223"/>
    <cellStyle name="Обычный 2 2 2 3 8 3 2" xfId="7224"/>
    <cellStyle name="Обычный 2 2 2 3 8 3 2 2" xfId="7225"/>
    <cellStyle name="Обычный 2 2 2 3 8 3 2 2 2" xfId="7226"/>
    <cellStyle name="Обычный 2 2 2 3 8 3 2 2 3" xfId="7227"/>
    <cellStyle name="Обычный 2 2 2 3 8 3 2 3" xfId="7228"/>
    <cellStyle name="Обычный 2 2 2 3 8 3 2 4" xfId="7229"/>
    <cellStyle name="Обычный 2 2 2 3 8 3 3" xfId="7230"/>
    <cellStyle name="Обычный 2 2 2 3 8 3 3 2" xfId="7231"/>
    <cellStyle name="Обычный 2 2 2 3 8 3 3 3" xfId="7232"/>
    <cellStyle name="Обычный 2 2 2 3 8 3 4" xfId="7233"/>
    <cellStyle name="Обычный 2 2 2 3 8 3 5" xfId="7234"/>
    <cellStyle name="Обычный 2 2 2 3 8 4" xfId="7235"/>
    <cellStyle name="Обычный 2 2 2 3 8 4 2" xfId="7236"/>
    <cellStyle name="Обычный 2 2 2 3 8 4 2 2" xfId="7237"/>
    <cellStyle name="Обычный 2 2 2 3 8 4 2 2 2" xfId="7238"/>
    <cellStyle name="Обычный 2 2 2 3 8 4 2 2 3" xfId="7239"/>
    <cellStyle name="Обычный 2 2 2 3 8 4 2 3" xfId="7240"/>
    <cellStyle name="Обычный 2 2 2 3 8 4 2 4" xfId="7241"/>
    <cellStyle name="Обычный 2 2 2 3 8 4 3" xfId="7242"/>
    <cellStyle name="Обычный 2 2 2 3 8 4 3 2" xfId="7243"/>
    <cellStyle name="Обычный 2 2 2 3 8 4 3 3" xfId="7244"/>
    <cellStyle name="Обычный 2 2 2 3 8 4 4" xfId="7245"/>
    <cellStyle name="Обычный 2 2 2 3 8 4 5" xfId="7246"/>
    <cellStyle name="Обычный 2 2 2 3 8 5" xfId="7247"/>
    <cellStyle name="Обычный 2 2 2 3 8 5 2" xfId="7248"/>
    <cellStyle name="Обычный 2 2 2 3 8 5 2 2" xfId="7249"/>
    <cellStyle name="Обычный 2 2 2 3 8 5 2 2 2" xfId="7250"/>
    <cellStyle name="Обычный 2 2 2 3 8 5 2 2 3" xfId="7251"/>
    <cellStyle name="Обычный 2 2 2 3 8 5 2 3" xfId="7252"/>
    <cellStyle name="Обычный 2 2 2 3 8 5 2 4" xfId="7253"/>
    <cellStyle name="Обычный 2 2 2 3 8 5 3" xfId="7254"/>
    <cellStyle name="Обычный 2 2 2 3 8 5 3 2" xfId="7255"/>
    <cellStyle name="Обычный 2 2 2 3 8 5 3 3" xfId="7256"/>
    <cellStyle name="Обычный 2 2 2 3 8 5 4" xfId="7257"/>
    <cellStyle name="Обычный 2 2 2 3 8 5 5" xfId="7258"/>
    <cellStyle name="Обычный 2 2 2 3 8 6" xfId="7259"/>
    <cellStyle name="Обычный 2 2 2 3 8 6 2" xfId="7260"/>
    <cellStyle name="Обычный 2 2 2 3 8 6 2 2" xfId="7261"/>
    <cellStyle name="Обычный 2 2 2 3 8 6 2 2 2" xfId="7262"/>
    <cellStyle name="Обычный 2 2 2 3 8 6 2 2 3" xfId="7263"/>
    <cellStyle name="Обычный 2 2 2 3 8 6 2 3" xfId="7264"/>
    <cellStyle name="Обычный 2 2 2 3 8 6 2 4" xfId="7265"/>
    <cellStyle name="Обычный 2 2 2 3 8 6 3" xfId="7266"/>
    <cellStyle name="Обычный 2 2 2 3 8 6 3 2" xfId="7267"/>
    <cellStyle name="Обычный 2 2 2 3 8 6 3 3" xfId="7268"/>
    <cellStyle name="Обычный 2 2 2 3 8 6 4" xfId="7269"/>
    <cellStyle name="Обычный 2 2 2 3 8 6 5" xfId="7270"/>
    <cellStyle name="Обычный 2 2 2 3 8 7" xfId="7271"/>
    <cellStyle name="Обычный 2 2 2 3 8 7 2" xfId="7272"/>
    <cellStyle name="Обычный 2 2 2 3 8 7 2 2" xfId="7273"/>
    <cellStyle name="Обычный 2 2 2 3 8 7 2 3" xfId="7274"/>
    <cellStyle name="Обычный 2 2 2 3 8 7 3" xfId="7275"/>
    <cellStyle name="Обычный 2 2 2 3 8 7 4" xfId="7276"/>
    <cellStyle name="Обычный 2 2 2 3 8 8" xfId="7277"/>
    <cellStyle name="Обычный 2 2 2 3 8 8 2" xfId="7278"/>
    <cellStyle name="Обычный 2 2 2 3 8 8 3" xfId="7279"/>
    <cellStyle name="Обычный 2 2 2 3 8 9" xfId="7280"/>
    <cellStyle name="Обычный 2 2 2 3 8_Расчет  30 млн_Технополис  Коренькова" xfId="7281"/>
    <cellStyle name="Обычный 2 2 2 3 9" xfId="7282"/>
    <cellStyle name="Обычный 2 2 2 3 9 2" xfId="7283"/>
    <cellStyle name="Обычный 2 2 2 3 9 2 2" xfId="7284"/>
    <cellStyle name="Обычный 2 2 2 3 9 2 2 2" xfId="7285"/>
    <cellStyle name="Обычный 2 2 2 3 9 2 2 3" xfId="7286"/>
    <cellStyle name="Обычный 2 2 2 3 9 2 3" xfId="7287"/>
    <cellStyle name="Обычный 2 2 2 3 9 2 4" xfId="7288"/>
    <cellStyle name="Обычный 2 2 2 3 9 3" xfId="7289"/>
    <cellStyle name="Обычный 2 2 2 3 9 3 2" xfId="7290"/>
    <cellStyle name="Обычный 2 2 2 3 9 3 3" xfId="7291"/>
    <cellStyle name="Обычный 2 2 2 3 9 4" xfId="7292"/>
    <cellStyle name="Обычный 2 2 2 3 9 5" xfId="7293"/>
    <cellStyle name="Обычный 2 2 2 3_1 ВАР. КП 1 293  +8пропорцЛара" xfId="7294"/>
    <cellStyle name="Обычный 2 2 2 4" xfId="7295"/>
    <cellStyle name="Обычный 2 2 2 5" xfId="7296"/>
    <cellStyle name="Обычный 2 2 2 6" xfId="7297"/>
    <cellStyle name="Обычный 2 2 2 7" xfId="7298"/>
    <cellStyle name="Обычный 2 2 2 8" xfId="7299"/>
    <cellStyle name="Обычный 2 2 2 9" xfId="7300"/>
    <cellStyle name="Обычный 2 2 2_1 ВАР. КП 1 293  +8пропорцЛара" xfId="7301"/>
    <cellStyle name="Обычный 2 2 3" xfId="7302"/>
    <cellStyle name="Обычный 2 2 4" xfId="7303"/>
    <cellStyle name="Обычный 2 2 4 2" xfId="7304"/>
    <cellStyle name="Обычный 2 2 4 3" xfId="7305"/>
    <cellStyle name="Обычный 2 2 4 4" xfId="7306"/>
    <cellStyle name="Обычный 2 2 4 5" xfId="7307"/>
    <cellStyle name="Обычный 2 2 47" xfId="10"/>
    <cellStyle name="Обычный 2 2 5" xfId="7308"/>
    <cellStyle name="Обычный 2 2 5 2" xfId="7309"/>
    <cellStyle name="Обычный 2 2 5 2 2" xfId="7310"/>
    <cellStyle name="Обычный 2 2 5 2 2 2" xfId="7311"/>
    <cellStyle name="Обычный 2 2 5 2 2 3" xfId="7312"/>
    <cellStyle name="Обычный 2 2 5 2 3" xfId="7313"/>
    <cellStyle name="Обычный 2 2 5 2 4" xfId="7314"/>
    <cellStyle name="Обычный 2 2 5 3" xfId="7315"/>
    <cellStyle name="Обычный 2 2 5 4" xfId="7316"/>
    <cellStyle name="Обычный 2 2 6" xfId="7317"/>
    <cellStyle name="Обычный 2 2 6 2" xfId="7318"/>
    <cellStyle name="Обычный 2 2 6 3" xfId="7319"/>
    <cellStyle name="Обычный 2 2 7" xfId="7320"/>
    <cellStyle name="Обычный 2 2 8" xfId="7321"/>
    <cellStyle name="Обычный 2 2 9" xfId="7322"/>
    <cellStyle name="Обычный 2 2_290 МОЁ Кудрово 7  калькуляции" xfId="7323"/>
    <cellStyle name="Обычный 2 20" xfId="7324"/>
    <cellStyle name="Обычный 2 21" xfId="7325"/>
    <cellStyle name="Обычный 2 22" xfId="7326"/>
    <cellStyle name="Обычный 2 23" xfId="7327"/>
    <cellStyle name="Обычный 2 24" xfId="7328"/>
    <cellStyle name="Обычный 2 25" xfId="7329"/>
    <cellStyle name="Обычный 2 26" xfId="7330"/>
    <cellStyle name="Обычный 2 27" xfId="7331"/>
    <cellStyle name="Обычный 2 28" xfId="7332"/>
    <cellStyle name="Обычный 2 29" xfId="7333"/>
    <cellStyle name="Обычный 2 3" xfId="7334"/>
    <cellStyle name="Обычный 2 3 10" xfId="7335"/>
    <cellStyle name="Обычный 2 3 10 2" xfId="7336"/>
    <cellStyle name="Обычный 2 3 10 2 2" xfId="7337"/>
    <cellStyle name="Обычный 2 3 10 2 2 2" xfId="7338"/>
    <cellStyle name="Обычный 2 3 10 2 3" xfId="7339"/>
    <cellStyle name="Обычный 2 3 2" xfId="7340"/>
    <cellStyle name="Обычный 2 3 2 2" xfId="7341"/>
    <cellStyle name="Обычный 2 3 2 2 10" xfId="7342"/>
    <cellStyle name="Обычный 2 3 2 2 10 2" xfId="7343"/>
    <cellStyle name="Обычный 2 3 2 2 11" xfId="7344"/>
    <cellStyle name="Обычный 2 3 2 2 12" xfId="7345"/>
    <cellStyle name="Обычный 2 3 2 2 2" xfId="7346"/>
    <cellStyle name="Обычный 2 3 2 2 2 2" xfId="7347"/>
    <cellStyle name="Обычный 2 3 2 2 2 2 2" xfId="7348"/>
    <cellStyle name="Обычный 2 3 2 2 2 2 2 2" xfId="7349"/>
    <cellStyle name="Обычный 2 3 2 2 2 2 2 2 2" xfId="7350"/>
    <cellStyle name="Обычный 2 3 2 2 2 2 2 2 3" xfId="7351"/>
    <cellStyle name="Обычный 2 3 2 2 2 2 2 3" xfId="7352"/>
    <cellStyle name="Обычный 2 3 2 2 2 2 2 4" xfId="7353"/>
    <cellStyle name="Обычный 2 3 2 2 2 2 3" xfId="7354"/>
    <cellStyle name="Обычный 2 3 2 2 2 2 3 2" xfId="7355"/>
    <cellStyle name="Обычный 2 3 2 2 2 2 3 3" xfId="7356"/>
    <cellStyle name="Обычный 2 3 2 2 2 2 4" xfId="7357"/>
    <cellStyle name="Обычный 2 3 2 2 2 2 5" xfId="7358"/>
    <cellStyle name="Обычный 2 3 2 2 2 3" xfId="7359"/>
    <cellStyle name="Обычный 2 3 2 2 2 3 2" xfId="7360"/>
    <cellStyle name="Обычный 2 3 2 2 2 3 2 2" xfId="7361"/>
    <cellStyle name="Обычный 2 3 2 2 2 3 2 3" xfId="7362"/>
    <cellStyle name="Обычный 2 3 2 2 2 3 3" xfId="7363"/>
    <cellStyle name="Обычный 2 3 2 2 2 3 4" xfId="7364"/>
    <cellStyle name="Обычный 2 3 2 2 2 4" xfId="7365"/>
    <cellStyle name="Обычный 2 3 2 2 2 4 2" xfId="7366"/>
    <cellStyle name="Обычный 2 3 2 2 2 4 3" xfId="7367"/>
    <cellStyle name="Обычный 2 3 2 2 2 5" xfId="7368"/>
    <cellStyle name="Обычный 2 3 2 2 2 6" xfId="7369"/>
    <cellStyle name="Обычный 2 3 2 2 2_Расчет  30 млн_Технополис  Коренькова" xfId="7370"/>
    <cellStyle name="Обычный 2 3 2 2 3" xfId="7371"/>
    <cellStyle name="Обычный 2 3 2 2 3 2" xfId="7372"/>
    <cellStyle name="Обычный 2 3 2 2 3 2 2" xfId="7373"/>
    <cellStyle name="Обычный 2 3 2 2 3 2 2 2" xfId="7374"/>
    <cellStyle name="Обычный 2 3 2 2 3 2 2 3" xfId="7375"/>
    <cellStyle name="Обычный 2 3 2 2 3 2 3" xfId="7376"/>
    <cellStyle name="Обычный 2 3 2 2 3 2 4" xfId="7377"/>
    <cellStyle name="Обычный 2 3 2 2 3 3" xfId="7378"/>
    <cellStyle name="Обычный 2 3 2 2 3 3 2" xfId="7379"/>
    <cellStyle name="Обычный 2 3 2 2 3 3 3" xfId="7380"/>
    <cellStyle name="Обычный 2 3 2 2 3 4" xfId="7381"/>
    <cellStyle name="Обычный 2 3 2 2 3 5" xfId="7382"/>
    <cellStyle name="Обычный 2 3 2 2 4" xfId="7383"/>
    <cellStyle name="Обычный 2 3 2 2 4 2" xfId="7384"/>
    <cellStyle name="Обычный 2 3 2 2 4 2 2" xfId="7385"/>
    <cellStyle name="Обычный 2 3 2 2 4 2 2 2" xfId="7386"/>
    <cellStyle name="Обычный 2 3 2 2 4 2 2 3" xfId="7387"/>
    <cellStyle name="Обычный 2 3 2 2 4 2 3" xfId="7388"/>
    <cellStyle name="Обычный 2 3 2 2 4 2 4" xfId="7389"/>
    <cellStyle name="Обычный 2 3 2 2 4 3" xfId="7390"/>
    <cellStyle name="Обычный 2 3 2 2 4 3 2" xfId="7391"/>
    <cellStyle name="Обычный 2 3 2 2 4 3 3" xfId="7392"/>
    <cellStyle name="Обычный 2 3 2 2 4 4" xfId="7393"/>
    <cellStyle name="Обычный 2 3 2 2 4 5" xfId="7394"/>
    <cellStyle name="Обычный 2 3 2 2 5" xfId="7395"/>
    <cellStyle name="Обычный 2 3 2 2 5 2" xfId="7396"/>
    <cellStyle name="Обычный 2 3 2 2 5 2 2" xfId="7397"/>
    <cellStyle name="Обычный 2 3 2 2 5 2 3" xfId="7398"/>
    <cellStyle name="Обычный 2 3 2 2 5 3" xfId="7399"/>
    <cellStyle name="Обычный 2 3 2 2 5 4" xfId="7400"/>
    <cellStyle name="Обычный 2 3 2 2 6" xfId="7401"/>
    <cellStyle name="Обычный 2 3 2 2 6 2" xfId="7402"/>
    <cellStyle name="Обычный 2 3 2 2 6 2 2" xfId="7403"/>
    <cellStyle name="Обычный 2 3 2 2 6 2 3" xfId="7404"/>
    <cellStyle name="Обычный 2 3 2 2 6 3" xfId="7405"/>
    <cellStyle name="Обычный 2 3 2 2 6 4" xfId="7406"/>
    <cellStyle name="Обычный 2 3 2 2 7" xfId="7407"/>
    <cellStyle name="Обычный 2 3 2 2 7 2" xfId="7408"/>
    <cellStyle name="Обычный 2 3 2 2 7 2 2" xfId="7409"/>
    <cellStyle name="Обычный 2 3 2 2 7 2 3" xfId="7410"/>
    <cellStyle name="Обычный 2 3 2 2 7 3" xfId="7411"/>
    <cellStyle name="Обычный 2 3 2 2 7 4" xfId="7412"/>
    <cellStyle name="Обычный 2 3 2 2 8" xfId="7413"/>
    <cellStyle name="Обычный 2 3 2 2 8 2" xfId="7414"/>
    <cellStyle name="Обычный 2 3 2 2 8 2 2" xfId="7415"/>
    <cellStyle name="Обычный 2 3 2 2 8 2 3" xfId="7416"/>
    <cellStyle name="Обычный 2 3 2 2 8 3" xfId="7417"/>
    <cellStyle name="Обычный 2 3 2 2 8 4" xfId="7418"/>
    <cellStyle name="Обычный 2 3 2 2 9" xfId="7419"/>
    <cellStyle name="Обычный 2 3 2 2 9 2" xfId="7420"/>
    <cellStyle name="Обычный 2 3 2 2 9 3" xfId="7421"/>
    <cellStyle name="Обычный 2 3 2 2_Расчет  30 млн_Технополис  Коренькова" xfId="7422"/>
    <cellStyle name="Обычный 2 3 3" xfId="7423"/>
    <cellStyle name="Обычный 2 3 4" xfId="7424"/>
    <cellStyle name="Обычный 2 3 5" xfId="7425"/>
    <cellStyle name="Обычный 2 3 6" xfId="7426"/>
    <cellStyle name="Обычный 2 3 6 2" xfId="7427"/>
    <cellStyle name="Обычный 2 3 6 2 2" xfId="7428"/>
    <cellStyle name="Обычный 2 3 6 2 2 2" xfId="7429"/>
    <cellStyle name="Обычный 2 3 6 2 3" xfId="7430"/>
    <cellStyle name="Обычный 2 3 6 2 4" xfId="7431"/>
    <cellStyle name="Обычный 2 3 6 3" xfId="7432"/>
    <cellStyle name="Обычный 2 3 7" xfId="7433"/>
    <cellStyle name="Обычный 2 3 7 2" xfId="7434"/>
    <cellStyle name="Обычный 2 3 7 2 2" xfId="7435"/>
    <cellStyle name="Обычный 2 3 7 2 2 2" xfId="7436"/>
    <cellStyle name="Обычный 2 3 7 2 3" xfId="7437"/>
    <cellStyle name="Обычный 2 3 8" xfId="7438"/>
    <cellStyle name="Обычный 2 3 8 2" xfId="7439"/>
    <cellStyle name="Обычный 2 3 8 2 2" xfId="7440"/>
    <cellStyle name="Обычный 2 3 8 2 2 2" xfId="7441"/>
    <cellStyle name="Обычный 2 3 8 2 3" xfId="7442"/>
    <cellStyle name="Обычный 2 3 9" xfId="7443"/>
    <cellStyle name="Обычный 2 3 9 2" xfId="7444"/>
    <cellStyle name="Обычный 2 3 9 2 2" xfId="7445"/>
    <cellStyle name="Обычный 2 3 9 2 2 2" xfId="7446"/>
    <cellStyle name="Обычный 2 3 9 2 3" xfId="7447"/>
    <cellStyle name="Обычный 2 3_290 Снижение КП ПРОММОНОЛИТ Кудрово 7" xfId="7448"/>
    <cellStyle name="Обычный 2 4" xfId="7449"/>
    <cellStyle name="Обычный 2 4 2" xfId="7450"/>
    <cellStyle name="Обычный 2 4 3" xfId="7451"/>
    <cellStyle name="Обычный 2 4 3 2" xfId="7452"/>
    <cellStyle name="Обычный 2 4_1 ВАР. КП 1 293  +8пропорцЛара" xfId="7453"/>
    <cellStyle name="Обычный 2 5" xfId="7454"/>
    <cellStyle name="Обычный 2 5 10" xfId="7455"/>
    <cellStyle name="Обычный 2 5 10 2" xfId="7456"/>
    <cellStyle name="Обычный 2 5 10 2 2" xfId="7457"/>
    <cellStyle name="Обычный 2 5 10 2 3" xfId="7458"/>
    <cellStyle name="Обычный 2 5 10 3" xfId="7459"/>
    <cellStyle name="Обычный 2 5 10 4" xfId="7460"/>
    <cellStyle name="Обычный 2 5 11" xfId="7461"/>
    <cellStyle name="Обычный 2 5 11 2" xfId="7462"/>
    <cellStyle name="Обычный 2 5 11 3" xfId="7463"/>
    <cellStyle name="Обычный 2 5 12" xfId="7464"/>
    <cellStyle name="Обычный 2 5 13" xfId="7465"/>
    <cellStyle name="Обычный 2 5 2" xfId="7466"/>
    <cellStyle name="Обычный 2 5 2 10" xfId="7467"/>
    <cellStyle name="Обычный 2 5 2 2" xfId="7468"/>
    <cellStyle name="Обычный 2 5 2 2 2" xfId="7469"/>
    <cellStyle name="Обычный 2 5 2 2 2 2" xfId="7470"/>
    <cellStyle name="Обычный 2 5 2 2 2 2 2" xfId="7471"/>
    <cellStyle name="Обычный 2 5 2 2 2 2 3" xfId="7472"/>
    <cellStyle name="Обычный 2 5 2 2 2 3" xfId="7473"/>
    <cellStyle name="Обычный 2 5 2 2 2 4" xfId="7474"/>
    <cellStyle name="Обычный 2 5 2 2 3" xfId="7475"/>
    <cellStyle name="Обычный 2 5 2 2 3 2" xfId="7476"/>
    <cellStyle name="Обычный 2 5 2 2 3 3" xfId="7477"/>
    <cellStyle name="Обычный 2 5 2 2 4" xfId="7478"/>
    <cellStyle name="Обычный 2 5 2 2 5" xfId="7479"/>
    <cellStyle name="Обычный 2 5 2 3" xfId="7480"/>
    <cellStyle name="Обычный 2 5 2 3 2" xfId="7481"/>
    <cellStyle name="Обычный 2 5 2 3 2 2" xfId="7482"/>
    <cellStyle name="Обычный 2 5 2 3 2 2 2" xfId="7483"/>
    <cellStyle name="Обычный 2 5 2 3 2 2 3" xfId="7484"/>
    <cellStyle name="Обычный 2 5 2 3 2 3" xfId="7485"/>
    <cellStyle name="Обычный 2 5 2 3 2 4" xfId="7486"/>
    <cellStyle name="Обычный 2 5 2 3 3" xfId="7487"/>
    <cellStyle name="Обычный 2 5 2 3 3 2" xfId="7488"/>
    <cellStyle name="Обычный 2 5 2 3 3 3" xfId="7489"/>
    <cellStyle name="Обычный 2 5 2 3 4" xfId="7490"/>
    <cellStyle name="Обычный 2 5 2 3 5" xfId="7491"/>
    <cellStyle name="Обычный 2 5 2 4" xfId="7492"/>
    <cellStyle name="Обычный 2 5 2 4 2" xfId="7493"/>
    <cellStyle name="Обычный 2 5 2 4 2 2" xfId="7494"/>
    <cellStyle name="Обычный 2 5 2 4 2 2 2" xfId="7495"/>
    <cellStyle name="Обычный 2 5 2 4 2 2 3" xfId="7496"/>
    <cellStyle name="Обычный 2 5 2 4 2 3" xfId="7497"/>
    <cellStyle name="Обычный 2 5 2 4 2 4" xfId="7498"/>
    <cellStyle name="Обычный 2 5 2 4 3" xfId="7499"/>
    <cellStyle name="Обычный 2 5 2 4 3 2" xfId="7500"/>
    <cellStyle name="Обычный 2 5 2 4 3 3" xfId="7501"/>
    <cellStyle name="Обычный 2 5 2 4 4" xfId="7502"/>
    <cellStyle name="Обычный 2 5 2 4 5" xfId="7503"/>
    <cellStyle name="Обычный 2 5 2 5" xfId="7504"/>
    <cellStyle name="Обычный 2 5 2 5 2" xfId="7505"/>
    <cellStyle name="Обычный 2 5 2 5 2 2" xfId="7506"/>
    <cellStyle name="Обычный 2 5 2 5 2 2 2" xfId="7507"/>
    <cellStyle name="Обычный 2 5 2 5 2 2 3" xfId="7508"/>
    <cellStyle name="Обычный 2 5 2 5 2 3" xfId="7509"/>
    <cellStyle name="Обычный 2 5 2 5 2 4" xfId="7510"/>
    <cellStyle name="Обычный 2 5 2 5 3" xfId="7511"/>
    <cellStyle name="Обычный 2 5 2 5 3 2" xfId="7512"/>
    <cellStyle name="Обычный 2 5 2 5 3 3" xfId="7513"/>
    <cellStyle name="Обычный 2 5 2 5 4" xfId="7514"/>
    <cellStyle name="Обычный 2 5 2 5 5" xfId="7515"/>
    <cellStyle name="Обычный 2 5 2 6" xfId="7516"/>
    <cellStyle name="Обычный 2 5 2 6 2" xfId="7517"/>
    <cellStyle name="Обычный 2 5 2 6 2 2" xfId="7518"/>
    <cellStyle name="Обычный 2 5 2 6 2 2 2" xfId="7519"/>
    <cellStyle name="Обычный 2 5 2 6 2 2 3" xfId="7520"/>
    <cellStyle name="Обычный 2 5 2 6 2 3" xfId="7521"/>
    <cellStyle name="Обычный 2 5 2 6 2 4" xfId="7522"/>
    <cellStyle name="Обычный 2 5 2 6 3" xfId="7523"/>
    <cellStyle name="Обычный 2 5 2 6 3 2" xfId="7524"/>
    <cellStyle name="Обычный 2 5 2 6 3 3" xfId="7525"/>
    <cellStyle name="Обычный 2 5 2 6 4" xfId="7526"/>
    <cellStyle name="Обычный 2 5 2 6 5" xfId="7527"/>
    <cellStyle name="Обычный 2 5 2 7" xfId="7528"/>
    <cellStyle name="Обычный 2 5 2 7 2" xfId="7529"/>
    <cellStyle name="Обычный 2 5 2 7 2 2" xfId="7530"/>
    <cellStyle name="Обычный 2 5 2 7 2 3" xfId="7531"/>
    <cellStyle name="Обычный 2 5 2 7 3" xfId="7532"/>
    <cellStyle name="Обычный 2 5 2 7 4" xfId="7533"/>
    <cellStyle name="Обычный 2 5 2 8" xfId="7534"/>
    <cellStyle name="Обычный 2 5 2 8 2" xfId="7535"/>
    <cellStyle name="Обычный 2 5 2 8 3" xfId="7536"/>
    <cellStyle name="Обычный 2 5 2 9" xfId="7537"/>
    <cellStyle name="Обычный 2 5 2_Расчет  30 млн_Технополис  Коренькова" xfId="7538"/>
    <cellStyle name="Обычный 2 5 3" xfId="7539"/>
    <cellStyle name="Обычный 2 5 3 10" xfId="7540"/>
    <cellStyle name="Обычный 2 5 3 2" xfId="7541"/>
    <cellStyle name="Обычный 2 5 3 2 2" xfId="7542"/>
    <cellStyle name="Обычный 2 5 3 2 2 2" xfId="7543"/>
    <cellStyle name="Обычный 2 5 3 2 2 2 2" xfId="7544"/>
    <cellStyle name="Обычный 2 5 3 2 2 2 3" xfId="7545"/>
    <cellStyle name="Обычный 2 5 3 2 2 3" xfId="7546"/>
    <cellStyle name="Обычный 2 5 3 2 2 4" xfId="7547"/>
    <cellStyle name="Обычный 2 5 3 2 3" xfId="7548"/>
    <cellStyle name="Обычный 2 5 3 2 3 2" xfId="7549"/>
    <cellStyle name="Обычный 2 5 3 2 3 3" xfId="7550"/>
    <cellStyle name="Обычный 2 5 3 2 4" xfId="7551"/>
    <cellStyle name="Обычный 2 5 3 2 5" xfId="7552"/>
    <cellStyle name="Обычный 2 5 3 3" xfId="7553"/>
    <cellStyle name="Обычный 2 5 3 3 2" xfId="7554"/>
    <cellStyle name="Обычный 2 5 3 3 2 2" xfId="7555"/>
    <cellStyle name="Обычный 2 5 3 3 2 2 2" xfId="7556"/>
    <cellStyle name="Обычный 2 5 3 3 2 2 3" xfId="7557"/>
    <cellStyle name="Обычный 2 5 3 3 2 3" xfId="7558"/>
    <cellStyle name="Обычный 2 5 3 3 2 4" xfId="7559"/>
    <cellStyle name="Обычный 2 5 3 3 3" xfId="7560"/>
    <cellStyle name="Обычный 2 5 3 3 3 2" xfId="7561"/>
    <cellStyle name="Обычный 2 5 3 3 3 3" xfId="7562"/>
    <cellStyle name="Обычный 2 5 3 3 4" xfId="7563"/>
    <cellStyle name="Обычный 2 5 3 3 5" xfId="7564"/>
    <cellStyle name="Обычный 2 5 3 4" xfId="7565"/>
    <cellStyle name="Обычный 2 5 3 4 2" xfId="7566"/>
    <cellStyle name="Обычный 2 5 3 4 2 2" xfId="7567"/>
    <cellStyle name="Обычный 2 5 3 4 2 2 2" xfId="7568"/>
    <cellStyle name="Обычный 2 5 3 4 2 2 3" xfId="7569"/>
    <cellStyle name="Обычный 2 5 3 4 2 3" xfId="7570"/>
    <cellStyle name="Обычный 2 5 3 4 2 4" xfId="7571"/>
    <cellStyle name="Обычный 2 5 3 4 3" xfId="7572"/>
    <cellStyle name="Обычный 2 5 3 4 3 2" xfId="7573"/>
    <cellStyle name="Обычный 2 5 3 4 3 3" xfId="7574"/>
    <cellStyle name="Обычный 2 5 3 4 4" xfId="7575"/>
    <cellStyle name="Обычный 2 5 3 4 5" xfId="7576"/>
    <cellStyle name="Обычный 2 5 3 5" xfId="7577"/>
    <cellStyle name="Обычный 2 5 3 5 2" xfId="7578"/>
    <cellStyle name="Обычный 2 5 3 5 2 2" xfId="7579"/>
    <cellStyle name="Обычный 2 5 3 5 2 2 2" xfId="7580"/>
    <cellStyle name="Обычный 2 5 3 5 2 2 3" xfId="7581"/>
    <cellStyle name="Обычный 2 5 3 5 2 3" xfId="7582"/>
    <cellStyle name="Обычный 2 5 3 5 2 4" xfId="7583"/>
    <cellStyle name="Обычный 2 5 3 5 3" xfId="7584"/>
    <cellStyle name="Обычный 2 5 3 5 3 2" xfId="7585"/>
    <cellStyle name="Обычный 2 5 3 5 3 3" xfId="7586"/>
    <cellStyle name="Обычный 2 5 3 5 4" xfId="7587"/>
    <cellStyle name="Обычный 2 5 3 5 5" xfId="7588"/>
    <cellStyle name="Обычный 2 5 3 6" xfId="7589"/>
    <cellStyle name="Обычный 2 5 3 6 2" xfId="7590"/>
    <cellStyle name="Обычный 2 5 3 6 2 2" xfId="7591"/>
    <cellStyle name="Обычный 2 5 3 6 2 2 2" xfId="7592"/>
    <cellStyle name="Обычный 2 5 3 6 2 2 3" xfId="7593"/>
    <cellStyle name="Обычный 2 5 3 6 2 3" xfId="7594"/>
    <cellStyle name="Обычный 2 5 3 6 2 4" xfId="7595"/>
    <cellStyle name="Обычный 2 5 3 6 3" xfId="7596"/>
    <cellStyle name="Обычный 2 5 3 6 3 2" xfId="7597"/>
    <cellStyle name="Обычный 2 5 3 6 3 3" xfId="7598"/>
    <cellStyle name="Обычный 2 5 3 6 4" xfId="7599"/>
    <cellStyle name="Обычный 2 5 3 6 5" xfId="7600"/>
    <cellStyle name="Обычный 2 5 3 7" xfId="7601"/>
    <cellStyle name="Обычный 2 5 3 7 2" xfId="7602"/>
    <cellStyle name="Обычный 2 5 3 7 2 2" xfId="7603"/>
    <cellStyle name="Обычный 2 5 3 7 2 3" xfId="7604"/>
    <cellStyle name="Обычный 2 5 3 7 3" xfId="7605"/>
    <cellStyle name="Обычный 2 5 3 7 4" xfId="7606"/>
    <cellStyle name="Обычный 2 5 3 8" xfId="7607"/>
    <cellStyle name="Обычный 2 5 3 8 2" xfId="7608"/>
    <cellStyle name="Обычный 2 5 3 8 3" xfId="7609"/>
    <cellStyle name="Обычный 2 5 3 9" xfId="7610"/>
    <cellStyle name="Обычный 2 5 3_Расчет  30 млн_Технополис  Коренькова" xfId="7611"/>
    <cellStyle name="Обычный 2 5 4" xfId="7612"/>
    <cellStyle name="Обычный 2 5 4 10" xfId="7613"/>
    <cellStyle name="Обычный 2 5 4 2" xfId="7614"/>
    <cellStyle name="Обычный 2 5 4 2 2" xfId="7615"/>
    <cellStyle name="Обычный 2 5 4 2 2 2" xfId="7616"/>
    <cellStyle name="Обычный 2 5 4 2 2 2 2" xfId="7617"/>
    <cellStyle name="Обычный 2 5 4 2 2 2 3" xfId="7618"/>
    <cellStyle name="Обычный 2 5 4 2 2 3" xfId="7619"/>
    <cellStyle name="Обычный 2 5 4 2 2 4" xfId="7620"/>
    <cellStyle name="Обычный 2 5 4 2 3" xfId="7621"/>
    <cellStyle name="Обычный 2 5 4 2 3 2" xfId="7622"/>
    <cellStyle name="Обычный 2 5 4 2 3 3" xfId="7623"/>
    <cellStyle name="Обычный 2 5 4 2 4" xfId="7624"/>
    <cellStyle name="Обычный 2 5 4 2 5" xfId="7625"/>
    <cellStyle name="Обычный 2 5 4 3" xfId="7626"/>
    <cellStyle name="Обычный 2 5 4 3 2" xfId="7627"/>
    <cellStyle name="Обычный 2 5 4 3 2 2" xfId="7628"/>
    <cellStyle name="Обычный 2 5 4 3 2 2 2" xfId="7629"/>
    <cellStyle name="Обычный 2 5 4 3 2 2 3" xfId="7630"/>
    <cellStyle name="Обычный 2 5 4 3 2 3" xfId="7631"/>
    <cellStyle name="Обычный 2 5 4 3 2 4" xfId="7632"/>
    <cellStyle name="Обычный 2 5 4 3 3" xfId="7633"/>
    <cellStyle name="Обычный 2 5 4 3 3 2" xfId="7634"/>
    <cellStyle name="Обычный 2 5 4 3 3 3" xfId="7635"/>
    <cellStyle name="Обычный 2 5 4 3 4" xfId="7636"/>
    <cellStyle name="Обычный 2 5 4 3 5" xfId="7637"/>
    <cellStyle name="Обычный 2 5 4 4" xfId="7638"/>
    <cellStyle name="Обычный 2 5 4 4 2" xfId="7639"/>
    <cellStyle name="Обычный 2 5 4 4 2 2" xfId="7640"/>
    <cellStyle name="Обычный 2 5 4 4 2 2 2" xfId="7641"/>
    <cellStyle name="Обычный 2 5 4 4 2 2 3" xfId="7642"/>
    <cellStyle name="Обычный 2 5 4 4 2 3" xfId="7643"/>
    <cellStyle name="Обычный 2 5 4 4 2 4" xfId="7644"/>
    <cellStyle name="Обычный 2 5 4 4 3" xfId="7645"/>
    <cellStyle name="Обычный 2 5 4 4 3 2" xfId="7646"/>
    <cellStyle name="Обычный 2 5 4 4 3 3" xfId="7647"/>
    <cellStyle name="Обычный 2 5 4 4 4" xfId="7648"/>
    <cellStyle name="Обычный 2 5 4 4 5" xfId="7649"/>
    <cellStyle name="Обычный 2 5 4 5" xfId="7650"/>
    <cellStyle name="Обычный 2 5 4 5 2" xfId="7651"/>
    <cellStyle name="Обычный 2 5 4 5 2 2" xfId="7652"/>
    <cellStyle name="Обычный 2 5 4 5 2 2 2" xfId="7653"/>
    <cellStyle name="Обычный 2 5 4 5 2 2 3" xfId="7654"/>
    <cellStyle name="Обычный 2 5 4 5 2 3" xfId="7655"/>
    <cellStyle name="Обычный 2 5 4 5 2 4" xfId="7656"/>
    <cellStyle name="Обычный 2 5 4 5 3" xfId="7657"/>
    <cellStyle name="Обычный 2 5 4 5 3 2" xfId="7658"/>
    <cellStyle name="Обычный 2 5 4 5 3 3" xfId="7659"/>
    <cellStyle name="Обычный 2 5 4 5 4" xfId="7660"/>
    <cellStyle name="Обычный 2 5 4 5 5" xfId="7661"/>
    <cellStyle name="Обычный 2 5 4 6" xfId="7662"/>
    <cellStyle name="Обычный 2 5 4 6 2" xfId="7663"/>
    <cellStyle name="Обычный 2 5 4 6 2 2" xfId="7664"/>
    <cellStyle name="Обычный 2 5 4 6 2 2 2" xfId="7665"/>
    <cellStyle name="Обычный 2 5 4 6 2 2 3" xfId="7666"/>
    <cellStyle name="Обычный 2 5 4 6 2 3" xfId="7667"/>
    <cellStyle name="Обычный 2 5 4 6 2 4" xfId="7668"/>
    <cellStyle name="Обычный 2 5 4 6 3" xfId="7669"/>
    <cellStyle name="Обычный 2 5 4 6 3 2" xfId="7670"/>
    <cellStyle name="Обычный 2 5 4 6 3 3" xfId="7671"/>
    <cellStyle name="Обычный 2 5 4 6 4" xfId="7672"/>
    <cellStyle name="Обычный 2 5 4 6 5" xfId="7673"/>
    <cellStyle name="Обычный 2 5 4 7" xfId="7674"/>
    <cellStyle name="Обычный 2 5 4 7 2" xfId="7675"/>
    <cellStyle name="Обычный 2 5 4 7 2 2" xfId="7676"/>
    <cellStyle name="Обычный 2 5 4 7 2 3" xfId="7677"/>
    <cellStyle name="Обычный 2 5 4 7 3" xfId="7678"/>
    <cellStyle name="Обычный 2 5 4 7 4" xfId="7679"/>
    <cellStyle name="Обычный 2 5 4 8" xfId="7680"/>
    <cellStyle name="Обычный 2 5 4 8 2" xfId="7681"/>
    <cellStyle name="Обычный 2 5 4 8 3" xfId="7682"/>
    <cellStyle name="Обычный 2 5 4 9" xfId="7683"/>
    <cellStyle name="Обычный 2 5 4_Расчет  30 млн_Технополис  Коренькова" xfId="7684"/>
    <cellStyle name="Обычный 2 5 5" xfId="7685"/>
    <cellStyle name="Обычный 2 5 5 2" xfId="7686"/>
    <cellStyle name="Обычный 2 5 5 2 2" xfId="7687"/>
    <cellStyle name="Обычный 2 5 5 2 2 2" xfId="7688"/>
    <cellStyle name="Обычный 2 5 5 2 2 3" xfId="7689"/>
    <cellStyle name="Обычный 2 5 5 2 3" xfId="7690"/>
    <cellStyle name="Обычный 2 5 5 2 4" xfId="7691"/>
    <cellStyle name="Обычный 2 5 5 3" xfId="7692"/>
    <cellStyle name="Обычный 2 5 5 3 2" xfId="7693"/>
    <cellStyle name="Обычный 2 5 5 3 3" xfId="7694"/>
    <cellStyle name="Обычный 2 5 5 4" xfId="7695"/>
    <cellStyle name="Обычный 2 5 5 5" xfId="7696"/>
    <cellStyle name="Обычный 2 5 5 6" xfId="7697"/>
    <cellStyle name="Обычный 2 5 6" xfId="7698"/>
    <cellStyle name="Обычный 2 5 6 2" xfId="7699"/>
    <cellStyle name="Обычный 2 5 6 2 2" xfId="7700"/>
    <cellStyle name="Обычный 2 5 6 2 2 2" xfId="7701"/>
    <cellStyle name="Обычный 2 5 6 2 2 3" xfId="7702"/>
    <cellStyle name="Обычный 2 5 6 2 3" xfId="7703"/>
    <cellStyle name="Обычный 2 5 6 2 4" xfId="7704"/>
    <cellStyle name="Обычный 2 5 6 3" xfId="7705"/>
    <cellStyle name="Обычный 2 5 6 3 2" xfId="7706"/>
    <cellStyle name="Обычный 2 5 6 3 3" xfId="7707"/>
    <cellStyle name="Обычный 2 5 6 4" xfId="7708"/>
    <cellStyle name="Обычный 2 5 6 5" xfId="7709"/>
    <cellStyle name="Обычный 2 5 7" xfId="7710"/>
    <cellStyle name="Обычный 2 5 7 2" xfId="7711"/>
    <cellStyle name="Обычный 2 5 7 2 2" xfId="7712"/>
    <cellStyle name="Обычный 2 5 7 2 2 2" xfId="7713"/>
    <cellStyle name="Обычный 2 5 7 2 2 3" xfId="7714"/>
    <cellStyle name="Обычный 2 5 7 2 3" xfId="7715"/>
    <cellStyle name="Обычный 2 5 7 2 4" xfId="7716"/>
    <cellStyle name="Обычный 2 5 7 3" xfId="7717"/>
    <cellStyle name="Обычный 2 5 7 3 2" xfId="7718"/>
    <cellStyle name="Обычный 2 5 7 3 3" xfId="7719"/>
    <cellStyle name="Обычный 2 5 7 4" xfId="7720"/>
    <cellStyle name="Обычный 2 5 7 5" xfId="7721"/>
    <cellStyle name="Обычный 2 5 8" xfId="7722"/>
    <cellStyle name="Обычный 2 5 8 2" xfId="7723"/>
    <cellStyle name="Обычный 2 5 8 2 2" xfId="7724"/>
    <cellStyle name="Обычный 2 5 8 2 2 2" xfId="7725"/>
    <cellStyle name="Обычный 2 5 8 2 2 3" xfId="7726"/>
    <cellStyle name="Обычный 2 5 8 2 3" xfId="7727"/>
    <cellStyle name="Обычный 2 5 8 2 4" xfId="7728"/>
    <cellStyle name="Обычный 2 5 8 3" xfId="7729"/>
    <cellStyle name="Обычный 2 5 8 3 2" xfId="7730"/>
    <cellStyle name="Обычный 2 5 8 3 3" xfId="7731"/>
    <cellStyle name="Обычный 2 5 8 4" xfId="7732"/>
    <cellStyle name="Обычный 2 5 8 5" xfId="7733"/>
    <cellStyle name="Обычный 2 5 9" xfId="7734"/>
    <cellStyle name="Обычный 2 5 9 2" xfId="7735"/>
    <cellStyle name="Обычный 2 5 9 2 2" xfId="7736"/>
    <cellStyle name="Обычный 2 5 9 2 2 2" xfId="7737"/>
    <cellStyle name="Обычный 2 5 9 2 2 3" xfId="7738"/>
    <cellStyle name="Обычный 2 5 9 2 3" xfId="7739"/>
    <cellStyle name="Обычный 2 5 9 2 4" xfId="7740"/>
    <cellStyle name="Обычный 2 5 9 3" xfId="7741"/>
    <cellStyle name="Обычный 2 5 9 3 2" xfId="7742"/>
    <cellStyle name="Обычный 2 5 9 3 3" xfId="7743"/>
    <cellStyle name="Обычный 2 5 9 4" xfId="7744"/>
    <cellStyle name="Обычный 2 5 9 5" xfId="7745"/>
    <cellStyle name="Обычный 2 5_1 ВАР. КП 1 293  +8пропорцЛара" xfId="7746"/>
    <cellStyle name="Обычный 2 6" xfId="7747"/>
    <cellStyle name="Обычный 2 6 10" xfId="7748"/>
    <cellStyle name="Обычный 2 6 10 2" xfId="7749"/>
    <cellStyle name="Обычный 2 6 10 2 2" xfId="7750"/>
    <cellStyle name="Обычный 2 6 10 2 3" xfId="7751"/>
    <cellStyle name="Обычный 2 6 10 3" xfId="7752"/>
    <cellStyle name="Обычный 2 6 10 4" xfId="7753"/>
    <cellStyle name="Обычный 2 6 11" xfId="7754"/>
    <cellStyle name="Обычный 2 6 11 2" xfId="7755"/>
    <cellStyle name="Обычный 2 6 11 3" xfId="7756"/>
    <cellStyle name="Обычный 2 6 12" xfId="7757"/>
    <cellStyle name="Обычный 2 6 13" xfId="7758"/>
    <cellStyle name="Обычный 2 6 2" xfId="7759"/>
    <cellStyle name="Обычный 2 6 2 10" xfId="7760"/>
    <cellStyle name="Обычный 2 6 2 2" xfId="7761"/>
    <cellStyle name="Обычный 2 6 2 2 2" xfId="7762"/>
    <cellStyle name="Обычный 2 6 2 2 2 2" xfId="7763"/>
    <cellStyle name="Обычный 2 6 2 2 2 2 2" xfId="7764"/>
    <cellStyle name="Обычный 2 6 2 2 2 2 3" xfId="7765"/>
    <cellStyle name="Обычный 2 6 2 2 2 3" xfId="7766"/>
    <cellStyle name="Обычный 2 6 2 2 2 4" xfId="7767"/>
    <cellStyle name="Обычный 2 6 2 2 3" xfId="7768"/>
    <cellStyle name="Обычный 2 6 2 2 3 2" xfId="7769"/>
    <cellStyle name="Обычный 2 6 2 2 3 3" xfId="7770"/>
    <cellStyle name="Обычный 2 6 2 2 4" xfId="7771"/>
    <cellStyle name="Обычный 2 6 2 2 5" xfId="7772"/>
    <cellStyle name="Обычный 2 6 2 3" xfId="7773"/>
    <cellStyle name="Обычный 2 6 2 3 2" xfId="7774"/>
    <cellStyle name="Обычный 2 6 2 3 2 2" xfId="7775"/>
    <cellStyle name="Обычный 2 6 2 3 2 2 2" xfId="7776"/>
    <cellStyle name="Обычный 2 6 2 3 2 2 3" xfId="7777"/>
    <cellStyle name="Обычный 2 6 2 3 2 3" xfId="7778"/>
    <cellStyle name="Обычный 2 6 2 3 2 4" xfId="7779"/>
    <cellStyle name="Обычный 2 6 2 3 3" xfId="7780"/>
    <cellStyle name="Обычный 2 6 2 3 3 2" xfId="7781"/>
    <cellStyle name="Обычный 2 6 2 3 3 3" xfId="7782"/>
    <cellStyle name="Обычный 2 6 2 3 4" xfId="7783"/>
    <cellStyle name="Обычный 2 6 2 3 5" xfId="7784"/>
    <cellStyle name="Обычный 2 6 2 4" xfId="7785"/>
    <cellStyle name="Обычный 2 6 2 4 2" xfId="7786"/>
    <cellStyle name="Обычный 2 6 2 4 2 2" xfId="7787"/>
    <cellStyle name="Обычный 2 6 2 4 2 2 2" xfId="7788"/>
    <cellStyle name="Обычный 2 6 2 4 2 2 3" xfId="7789"/>
    <cellStyle name="Обычный 2 6 2 4 2 3" xfId="7790"/>
    <cellStyle name="Обычный 2 6 2 4 2 4" xfId="7791"/>
    <cellStyle name="Обычный 2 6 2 4 3" xfId="7792"/>
    <cellStyle name="Обычный 2 6 2 4 3 2" xfId="7793"/>
    <cellStyle name="Обычный 2 6 2 4 3 3" xfId="7794"/>
    <cellStyle name="Обычный 2 6 2 4 4" xfId="7795"/>
    <cellStyle name="Обычный 2 6 2 4 5" xfId="7796"/>
    <cellStyle name="Обычный 2 6 2 5" xfId="7797"/>
    <cellStyle name="Обычный 2 6 2 5 2" xfId="7798"/>
    <cellStyle name="Обычный 2 6 2 5 2 2" xfId="7799"/>
    <cellStyle name="Обычный 2 6 2 5 2 2 2" xfId="7800"/>
    <cellStyle name="Обычный 2 6 2 5 2 2 3" xfId="7801"/>
    <cellStyle name="Обычный 2 6 2 5 2 3" xfId="7802"/>
    <cellStyle name="Обычный 2 6 2 5 2 4" xfId="7803"/>
    <cellStyle name="Обычный 2 6 2 5 3" xfId="7804"/>
    <cellStyle name="Обычный 2 6 2 5 3 2" xfId="7805"/>
    <cellStyle name="Обычный 2 6 2 5 3 3" xfId="7806"/>
    <cellStyle name="Обычный 2 6 2 5 4" xfId="7807"/>
    <cellStyle name="Обычный 2 6 2 5 5" xfId="7808"/>
    <cellStyle name="Обычный 2 6 2 6" xfId="7809"/>
    <cellStyle name="Обычный 2 6 2 6 2" xfId="7810"/>
    <cellStyle name="Обычный 2 6 2 6 2 2" xfId="7811"/>
    <cellStyle name="Обычный 2 6 2 6 2 2 2" xfId="7812"/>
    <cellStyle name="Обычный 2 6 2 6 2 2 3" xfId="7813"/>
    <cellStyle name="Обычный 2 6 2 6 2 3" xfId="7814"/>
    <cellStyle name="Обычный 2 6 2 6 2 4" xfId="7815"/>
    <cellStyle name="Обычный 2 6 2 6 3" xfId="7816"/>
    <cellStyle name="Обычный 2 6 2 6 3 2" xfId="7817"/>
    <cellStyle name="Обычный 2 6 2 6 3 3" xfId="7818"/>
    <cellStyle name="Обычный 2 6 2 6 4" xfId="7819"/>
    <cellStyle name="Обычный 2 6 2 6 5" xfId="7820"/>
    <cellStyle name="Обычный 2 6 2 7" xfId="7821"/>
    <cellStyle name="Обычный 2 6 2 7 2" xfId="7822"/>
    <cellStyle name="Обычный 2 6 2 7 2 2" xfId="7823"/>
    <cellStyle name="Обычный 2 6 2 7 2 3" xfId="7824"/>
    <cellStyle name="Обычный 2 6 2 7 3" xfId="7825"/>
    <cellStyle name="Обычный 2 6 2 7 4" xfId="7826"/>
    <cellStyle name="Обычный 2 6 2 8" xfId="7827"/>
    <cellStyle name="Обычный 2 6 2 8 2" xfId="7828"/>
    <cellStyle name="Обычный 2 6 2 8 3" xfId="7829"/>
    <cellStyle name="Обычный 2 6 2 9" xfId="7830"/>
    <cellStyle name="Обычный 2 6 2_Расчет  30 млн_Технополис  Коренькова" xfId="7831"/>
    <cellStyle name="Обычный 2 6 3" xfId="7832"/>
    <cellStyle name="Обычный 2 6 3 10" xfId="7833"/>
    <cellStyle name="Обычный 2 6 3 2" xfId="7834"/>
    <cellStyle name="Обычный 2 6 3 2 2" xfId="7835"/>
    <cellStyle name="Обычный 2 6 3 2 2 2" xfId="7836"/>
    <cellStyle name="Обычный 2 6 3 2 2 2 2" xfId="7837"/>
    <cellStyle name="Обычный 2 6 3 2 2 2 3" xfId="7838"/>
    <cellStyle name="Обычный 2 6 3 2 2 3" xfId="7839"/>
    <cellStyle name="Обычный 2 6 3 2 2 4" xfId="7840"/>
    <cellStyle name="Обычный 2 6 3 2 3" xfId="7841"/>
    <cellStyle name="Обычный 2 6 3 2 3 2" xfId="7842"/>
    <cellStyle name="Обычный 2 6 3 2 3 3" xfId="7843"/>
    <cellStyle name="Обычный 2 6 3 2 4" xfId="7844"/>
    <cellStyle name="Обычный 2 6 3 2 5" xfId="7845"/>
    <cellStyle name="Обычный 2 6 3 3" xfId="7846"/>
    <cellStyle name="Обычный 2 6 3 3 2" xfId="7847"/>
    <cellStyle name="Обычный 2 6 3 3 2 2" xfId="7848"/>
    <cellStyle name="Обычный 2 6 3 3 2 2 2" xfId="7849"/>
    <cellStyle name="Обычный 2 6 3 3 2 2 3" xfId="7850"/>
    <cellStyle name="Обычный 2 6 3 3 2 3" xfId="7851"/>
    <cellStyle name="Обычный 2 6 3 3 2 4" xfId="7852"/>
    <cellStyle name="Обычный 2 6 3 3 3" xfId="7853"/>
    <cellStyle name="Обычный 2 6 3 3 3 2" xfId="7854"/>
    <cellStyle name="Обычный 2 6 3 3 3 3" xfId="7855"/>
    <cellStyle name="Обычный 2 6 3 3 4" xfId="7856"/>
    <cellStyle name="Обычный 2 6 3 3 5" xfId="7857"/>
    <cellStyle name="Обычный 2 6 3 4" xfId="7858"/>
    <cellStyle name="Обычный 2 6 3 4 2" xfId="7859"/>
    <cellStyle name="Обычный 2 6 3 4 2 2" xfId="7860"/>
    <cellStyle name="Обычный 2 6 3 4 2 2 2" xfId="7861"/>
    <cellStyle name="Обычный 2 6 3 4 2 2 3" xfId="7862"/>
    <cellStyle name="Обычный 2 6 3 4 2 3" xfId="7863"/>
    <cellStyle name="Обычный 2 6 3 4 2 4" xfId="7864"/>
    <cellStyle name="Обычный 2 6 3 4 3" xfId="7865"/>
    <cellStyle name="Обычный 2 6 3 4 3 2" xfId="7866"/>
    <cellStyle name="Обычный 2 6 3 4 3 3" xfId="7867"/>
    <cellStyle name="Обычный 2 6 3 4 4" xfId="7868"/>
    <cellStyle name="Обычный 2 6 3 4 5" xfId="7869"/>
    <cellStyle name="Обычный 2 6 3 5" xfId="7870"/>
    <cellStyle name="Обычный 2 6 3 5 2" xfId="7871"/>
    <cellStyle name="Обычный 2 6 3 5 2 2" xfId="7872"/>
    <cellStyle name="Обычный 2 6 3 5 2 2 2" xfId="7873"/>
    <cellStyle name="Обычный 2 6 3 5 2 2 3" xfId="7874"/>
    <cellStyle name="Обычный 2 6 3 5 2 3" xfId="7875"/>
    <cellStyle name="Обычный 2 6 3 5 2 4" xfId="7876"/>
    <cellStyle name="Обычный 2 6 3 5 3" xfId="7877"/>
    <cellStyle name="Обычный 2 6 3 5 3 2" xfId="7878"/>
    <cellStyle name="Обычный 2 6 3 5 3 3" xfId="7879"/>
    <cellStyle name="Обычный 2 6 3 5 4" xfId="7880"/>
    <cellStyle name="Обычный 2 6 3 5 5" xfId="7881"/>
    <cellStyle name="Обычный 2 6 3 6" xfId="7882"/>
    <cellStyle name="Обычный 2 6 3 6 2" xfId="7883"/>
    <cellStyle name="Обычный 2 6 3 6 2 2" xfId="7884"/>
    <cellStyle name="Обычный 2 6 3 6 2 2 2" xfId="7885"/>
    <cellStyle name="Обычный 2 6 3 6 2 2 3" xfId="7886"/>
    <cellStyle name="Обычный 2 6 3 6 2 3" xfId="7887"/>
    <cellStyle name="Обычный 2 6 3 6 2 4" xfId="7888"/>
    <cellStyle name="Обычный 2 6 3 6 3" xfId="7889"/>
    <cellStyle name="Обычный 2 6 3 6 3 2" xfId="7890"/>
    <cellStyle name="Обычный 2 6 3 6 3 3" xfId="7891"/>
    <cellStyle name="Обычный 2 6 3 6 4" xfId="7892"/>
    <cellStyle name="Обычный 2 6 3 6 5" xfId="7893"/>
    <cellStyle name="Обычный 2 6 3 7" xfId="7894"/>
    <cellStyle name="Обычный 2 6 3 7 2" xfId="7895"/>
    <cellStyle name="Обычный 2 6 3 7 2 2" xfId="7896"/>
    <cellStyle name="Обычный 2 6 3 7 2 3" xfId="7897"/>
    <cellStyle name="Обычный 2 6 3 7 3" xfId="7898"/>
    <cellStyle name="Обычный 2 6 3 7 4" xfId="7899"/>
    <cellStyle name="Обычный 2 6 3 8" xfId="7900"/>
    <cellStyle name="Обычный 2 6 3 8 2" xfId="7901"/>
    <cellStyle name="Обычный 2 6 3 8 3" xfId="7902"/>
    <cellStyle name="Обычный 2 6 3 9" xfId="7903"/>
    <cellStyle name="Обычный 2 6 3_Расчет  30 млн_Технополис  Коренькова" xfId="7904"/>
    <cellStyle name="Обычный 2 6 4" xfId="7905"/>
    <cellStyle name="Обычный 2 6 4 10" xfId="7906"/>
    <cellStyle name="Обычный 2 6 4 2" xfId="7907"/>
    <cellStyle name="Обычный 2 6 4 2 2" xfId="7908"/>
    <cellStyle name="Обычный 2 6 4 2 2 2" xfId="7909"/>
    <cellStyle name="Обычный 2 6 4 2 2 2 2" xfId="7910"/>
    <cellStyle name="Обычный 2 6 4 2 2 2 3" xfId="7911"/>
    <cellStyle name="Обычный 2 6 4 2 2 3" xfId="7912"/>
    <cellStyle name="Обычный 2 6 4 2 2 4" xfId="7913"/>
    <cellStyle name="Обычный 2 6 4 2 3" xfId="7914"/>
    <cellStyle name="Обычный 2 6 4 2 3 2" xfId="7915"/>
    <cellStyle name="Обычный 2 6 4 2 3 3" xfId="7916"/>
    <cellStyle name="Обычный 2 6 4 2 4" xfId="7917"/>
    <cellStyle name="Обычный 2 6 4 2 5" xfId="7918"/>
    <cellStyle name="Обычный 2 6 4 3" xfId="7919"/>
    <cellStyle name="Обычный 2 6 4 3 2" xfId="7920"/>
    <cellStyle name="Обычный 2 6 4 3 2 2" xfId="7921"/>
    <cellStyle name="Обычный 2 6 4 3 2 2 2" xfId="7922"/>
    <cellStyle name="Обычный 2 6 4 3 2 2 3" xfId="7923"/>
    <cellStyle name="Обычный 2 6 4 3 2 3" xfId="7924"/>
    <cellStyle name="Обычный 2 6 4 3 2 4" xfId="7925"/>
    <cellStyle name="Обычный 2 6 4 3 3" xfId="7926"/>
    <cellStyle name="Обычный 2 6 4 3 3 2" xfId="7927"/>
    <cellStyle name="Обычный 2 6 4 3 3 3" xfId="7928"/>
    <cellStyle name="Обычный 2 6 4 3 4" xfId="7929"/>
    <cellStyle name="Обычный 2 6 4 3 5" xfId="7930"/>
    <cellStyle name="Обычный 2 6 4 4" xfId="7931"/>
    <cellStyle name="Обычный 2 6 4 4 2" xfId="7932"/>
    <cellStyle name="Обычный 2 6 4 4 2 2" xfId="7933"/>
    <cellStyle name="Обычный 2 6 4 4 2 2 2" xfId="7934"/>
    <cellStyle name="Обычный 2 6 4 4 2 2 3" xfId="7935"/>
    <cellStyle name="Обычный 2 6 4 4 2 3" xfId="7936"/>
    <cellStyle name="Обычный 2 6 4 4 2 4" xfId="7937"/>
    <cellStyle name="Обычный 2 6 4 4 3" xfId="7938"/>
    <cellStyle name="Обычный 2 6 4 4 3 2" xfId="7939"/>
    <cellStyle name="Обычный 2 6 4 4 3 3" xfId="7940"/>
    <cellStyle name="Обычный 2 6 4 4 4" xfId="7941"/>
    <cellStyle name="Обычный 2 6 4 4 5" xfId="7942"/>
    <cellStyle name="Обычный 2 6 4 5" xfId="7943"/>
    <cellStyle name="Обычный 2 6 4 5 2" xfId="7944"/>
    <cellStyle name="Обычный 2 6 4 5 2 2" xfId="7945"/>
    <cellStyle name="Обычный 2 6 4 5 2 2 2" xfId="7946"/>
    <cellStyle name="Обычный 2 6 4 5 2 2 3" xfId="7947"/>
    <cellStyle name="Обычный 2 6 4 5 2 3" xfId="7948"/>
    <cellStyle name="Обычный 2 6 4 5 2 4" xfId="7949"/>
    <cellStyle name="Обычный 2 6 4 5 3" xfId="7950"/>
    <cellStyle name="Обычный 2 6 4 5 3 2" xfId="7951"/>
    <cellStyle name="Обычный 2 6 4 5 3 3" xfId="7952"/>
    <cellStyle name="Обычный 2 6 4 5 4" xfId="7953"/>
    <cellStyle name="Обычный 2 6 4 5 5" xfId="7954"/>
    <cellStyle name="Обычный 2 6 4 6" xfId="7955"/>
    <cellStyle name="Обычный 2 6 4 6 2" xfId="7956"/>
    <cellStyle name="Обычный 2 6 4 6 2 2" xfId="7957"/>
    <cellStyle name="Обычный 2 6 4 6 2 2 2" xfId="7958"/>
    <cellStyle name="Обычный 2 6 4 6 2 2 3" xfId="7959"/>
    <cellStyle name="Обычный 2 6 4 6 2 3" xfId="7960"/>
    <cellStyle name="Обычный 2 6 4 6 2 4" xfId="7961"/>
    <cellStyle name="Обычный 2 6 4 6 3" xfId="7962"/>
    <cellStyle name="Обычный 2 6 4 6 3 2" xfId="7963"/>
    <cellStyle name="Обычный 2 6 4 6 3 3" xfId="7964"/>
    <cellStyle name="Обычный 2 6 4 6 4" xfId="7965"/>
    <cellStyle name="Обычный 2 6 4 6 5" xfId="7966"/>
    <cellStyle name="Обычный 2 6 4 7" xfId="7967"/>
    <cellStyle name="Обычный 2 6 4 7 2" xfId="7968"/>
    <cellStyle name="Обычный 2 6 4 7 2 2" xfId="7969"/>
    <cellStyle name="Обычный 2 6 4 7 2 3" xfId="7970"/>
    <cellStyle name="Обычный 2 6 4 7 3" xfId="7971"/>
    <cellStyle name="Обычный 2 6 4 7 4" xfId="7972"/>
    <cellStyle name="Обычный 2 6 4 8" xfId="7973"/>
    <cellStyle name="Обычный 2 6 4 8 2" xfId="7974"/>
    <cellStyle name="Обычный 2 6 4 8 3" xfId="7975"/>
    <cellStyle name="Обычный 2 6 4 9" xfId="7976"/>
    <cellStyle name="Обычный 2 6 4_Расчет  30 млн_Технополис  Коренькова" xfId="7977"/>
    <cellStyle name="Обычный 2 6 5" xfId="7978"/>
    <cellStyle name="Обычный 2 6 5 2" xfId="7979"/>
    <cellStyle name="Обычный 2 6 5 2 2" xfId="7980"/>
    <cellStyle name="Обычный 2 6 5 2 2 2" xfId="7981"/>
    <cellStyle name="Обычный 2 6 5 2 2 3" xfId="7982"/>
    <cellStyle name="Обычный 2 6 5 2 3" xfId="7983"/>
    <cellStyle name="Обычный 2 6 5 2 4" xfId="7984"/>
    <cellStyle name="Обычный 2 6 5 3" xfId="7985"/>
    <cellStyle name="Обычный 2 6 5 3 2" xfId="7986"/>
    <cellStyle name="Обычный 2 6 5 3 3" xfId="7987"/>
    <cellStyle name="Обычный 2 6 5 4" xfId="7988"/>
    <cellStyle name="Обычный 2 6 5 5" xfId="7989"/>
    <cellStyle name="Обычный 2 6 5 6" xfId="7990"/>
    <cellStyle name="Обычный 2 6 6" xfId="7991"/>
    <cellStyle name="Обычный 2 6 6 2" xfId="7992"/>
    <cellStyle name="Обычный 2 6 6 2 2" xfId="7993"/>
    <cellStyle name="Обычный 2 6 6 2 2 2" xfId="7994"/>
    <cellStyle name="Обычный 2 6 6 2 2 3" xfId="7995"/>
    <cellStyle name="Обычный 2 6 6 2 3" xfId="7996"/>
    <cellStyle name="Обычный 2 6 6 2 4" xfId="7997"/>
    <cellStyle name="Обычный 2 6 6 3" xfId="7998"/>
    <cellStyle name="Обычный 2 6 6 3 2" xfId="7999"/>
    <cellStyle name="Обычный 2 6 6 3 3" xfId="8000"/>
    <cellStyle name="Обычный 2 6 6 4" xfId="8001"/>
    <cellStyle name="Обычный 2 6 6 5" xfId="8002"/>
    <cellStyle name="Обычный 2 6 7" xfId="8003"/>
    <cellStyle name="Обычный 2 6 7 2" xfId="8004"/>
    <cellStyle name="Обычный 2 6 7 2 2" xfId="8005"/>
    <cellStyle name="Обычный 2 6 7 2 2 2" xfId="8006"/>
    <cellStyle name="Обычный 2 6 7 2 2 3" xfId="8007"/>
    <cellStyle name="Обычный 2 6 7 2 3" xfId="8008"/>
    <cellStyle name="Обычный 2 6 7 2 4" xfId="8009"/>
    <cellStyle name="Обычный 2 6 7 3" xfId="8010"/>
    <cellStyle name="Обычный 2 6 7 3 2" xfId="8011"/>
    <cellStyle name="Обычный 2 6 7 3 3" xfId="8012"/>
    <cellStyle name="Обычный 2 6 7 4" xfId="8013"/>
    <cellStyle name="Обычный 2 6 7 5" xfId="8014"/>
    <cellStyle name="Обычный 2 6 8" xfId="8015"/>
    <cellStyle name="Обычный 2 6 8 2" xfId="8016"/>
    <cellStyle name="Обычный 2 6 8 2 2" xfId="8017"/>
    <cellStyle name="Обычный 2 6 8 2 2 2" xfId="8018"/>
    <cellStyle name="Обычный 2 6 8 2 2 3" xfId="8019"/>
    <cellStyle name="Обычный 2 6 8 2 3" xfId="8020"/>
    <cellStyle name="Обычный 2 6 8 2 4" xfId="8021"/>
    <cellStyle name="Обычный 2 6 8 3" xfId="8022"/>
    <cellStyle name="Обычный 2 6 8 3 2" xfId="8023"/>
    <cellStyle name="Обычный 2 6 8 3 3" xfId="8024"/>
    <cellStyle name="Обычный 2 6 8 4" xfId="8025"/>
    <cellStyle name="Обычный 2 6 8 5" xfId="8026"/>
    <cellStyle name="Обычный 2 6 9" xfId="8027"/>
    <cellStyle name="Обычный 2 6 9 2" xfId="8028"/>
    <cellStyle name="Обычный 2 6 9 2 2" xfId="8029"/>
    <cellStyle name="Обычный 2 6 9 2 2 2" xfId="8030"/>
    <cellStyle name="Обычный 2 6 9 2 2 3" xfId="8031"/>
    <cellStyle name="Обычный 2 6 9 2 3" xfId="8032"/>
    <cellStyle name="Обычный 2 6 9 2 4" xfId="8033"/>
    <cellStyle name="Обычный 2 6 9 3" xfId="8034"/>
    <cellStyle name="Обычный 2 6 9 3 2" xfId="8035"/>
    <cellStyle name="Обычный 2 6 9 3 3" xfId="8036"/>
    <cellStyle name="Обычный 2 6 9 4" xfId="8037"/>
    <cellStyle name="Обычный 2 6 9 5" xfId="8038"/>
    <cellStyle name="Обычный 2 6_1 ВАР. КП 1 293  +8пропорцЛара" xfId="8039"/>
    <cellStyle name="Обычный 2 7" xfId="8040"/>
    <cellStyle name="Обычный 2 7 2" xfId="8041"/>
    <cellStyle name="Обычный 2 8" xfId="8042"/>
    <cellStyle name="Обычный 2 9" xfId="8043"/>
    <cellStyle name="Обычный 2 90" xfId="8044"/>
    <cellStyle name="Обычный 2_1 ВАР. КП 1 293  +8пропорцЛара" xfId="8045"/>
    <cellStyle name="Обычный 20" xfId="8046"/>
    <cellStyle name="Обычный 20 10" xfId="8047"/>
    <cellStyle name="Обычный 20 2" xfId="8048"/>
    <cellStyle name="Обычный 20 2 2" xfId="8049"/>
    <cellStyle name="Обычный 20 2 2 2" xfId="8050"/>
    <cellStyle name="Обычный 20 2 2 2 2" xfId="8051"/>
    <cellStyle name="Обычный 20 2 2 2 3" xfId="8052"/>
    <cellStyle name="Обычный 20 2 2 3" xfId="8053"/>
    <cellStyle name="Обычный 20 2 2 4" xfId="8054"/>
    <cellStyle name="Обычный 20 2 3" xfId="8055"/>
    <cellStyle name="Обычный 20 2 3 2" xfId="8056"/>
    <cellStyle name="Обычный 20 2 3 3" xfId="8057"/>
    <cellStyle name="Обычный 20 2 4" xfId="8058"/>
    <cellStyle name="Обычный 20 2 5" xfId="8059"/>
    <cellStyle name="Обычный 20 3" xfId="8060"/>
    <cellStyle name="Обычный 20 3 2" xfId="8061"/>
    <cellStyle name="Обычный 20 3 2 2" xfId="8062"/>
    <cellStyle name="Обычный 20 3 2 2 2" xfId="8063"/>
    <cellStyle name="Обычный 20 3 2 2 3" xfId="8064"/>
    <cellStyle name="Обычный 20 3 2 3" xfId="8065"/>
    <cellStyle name="Обычный 20 3 2 4" xfId="8066"/>
    <cellStyle name="Обычный 20 3 3" xfId="8067"/>
    <cellStyle name="Обычный 20 3 3 2" xfId="8068"/>
    <cellStyle name="Обычный 20 3 3 3" xfId="8069"/>
    <cellStyle name="Обычный 20 3 4" xfId="8070"/>
    <cellStyle name="Обычный 20 3 5" xfId="8071"/>
    <cellStyle name="Обычный 20 4" xfId="8072"/>
    <cellStyle name="Обычный 20 4 2" xfId="8073"/>
    <cellStyle name="Обычный 20 4 2 2" xfId="8074"/>
    <cellStyle name="Обычный 20 4 2 2 2" xfId="8075"/>
    <cellStyle name="Обычный 20 4 2 2 3" xfId="8076"/>
    <cellStyle name="Обычный 20 4 2 3" xfId="8077"/>
    <cellStyle name="Обычный 20 4 2 4" xfId="8078"/>
    <cellStyle name="Обычный 20 4 3" xfId="8079"/>
    <cellStyle name="Обычный 20 4 3 2" xfId="8080"/>
    <cellStyle name="Обычный 20 4 3 3" xfId="8081"/>
    <cellStyle name="Обычный 20 4 4" xfId="8082"/>
    <cellStyle name="Обычный 20 4 5" xfId="8083"/>
    <cellStyle name="Обычный 20 5" xfId="8084"/>
    <cellStyle name="Обычный 20 5 2" xfId="8085"/>
    <cellStyle name="Обычный 20 5 2 2" xfId="8086"/>
    <cellStyle name="Обычный 20 5 2 2 2" xfId="8087"/>
    <cellStyle name="Обычный 20 5 2 2 3" xfId="8088"/>
    <cellStyle name="Обычный 20 5 2 3" xfId="8089"/>
    <cellStyle name="Обычный 20 5 2 4" xfId="8090"/>
    <cellStyle name="Обычный 20 5 3" xfId="8091"/>
    <cellStyle name="Обычный 20 5 3 2" xfId="8092"/>
    <cellStyle name="Обычный 20 5 3 3" xfId="8093"/>
    <cellStyle name="Обычный 20 5 4" xfId="8094"/>
    <cellStyle name="Обычный 20 5 5" xfId="8095"/>
    <cellStyle name="Обычный 20 6" xfId="8096"/>
    <cellStyle name="Обычный 20 6 2" xfId="8097"/>
    <cellStyle name="Обычный 20 6 2 2" xfId="8098"/>
    <cellStyle name="Обычный 20 6 2 2 2" xfId="8099"/>
    <cellStyle name="Обычный 20 6 2 2 3" xfId="8100"/>
    <cellStyle name="Обычный 20 6 2 3" xfId="8101"/>
    <cellStyle name="Обычный 20 6 2 4" xfId="8102"/>
    <cellStyle name="Обычный 20 6 3" xfId="8103"/>
    <cellStyle name="Обычный 20 6 3 2" xfId="8104"/>
    <cellStyle name="Обычный 20 6 3 3" xfId="8105"/>
    <cellStyle name="Обычный 20 6 4" xfId="8106"/>
    <cellStyle name="Обычный 20 6 5" xfId="8107"/>
    <cellStyle name="Обычный 20 7" xfId="8108"/>
    <cellStyle name="Обычный 20 7 2" xfId="8109"/>
    <cellStyle name="Обычный 20 7 2 2" xfId="8110"/>
    <cellStyle name="Обычный 20 7 2 3" xfId="8111"/>
    <cellStyle name="Обычный 20 7 3" xfId="8112"/>
    <cellStyle name="Обычный 20 7 4" xfId="8113"/>
    <cellStyle name="Обычный 20 8" xfId="8114"/>
    <cellStyle name="Обычный 20 8 2" xfId="8115"/>
    <cellStyle name="Обычный 20 8 3" xfId="8116"/>
    <cellStyle name="Обычный 20 9" xfId="8117"/>
    <cellStyle name="Обычный 20_Расчет  30 млн_Технополис  Коренькова" xfId="8118"/>
    <cellStyle name="Обычный 21" xfId="8119"/>
    <cellStyle name="Обычный 21 10" xfId="8120"/>
    <cellStyle name="Обычный 21 11" xfId="8121"/>
    <cellStyle name="Обычный 21 2" xfId="8122"/>
    <cellStyle name="Обычный 21 3" xfId="8123"/>
    <cellStyle name="Обычный 21 3 2" xfId="8124"/>
    <cellStyle name="Обычный 21 3 2 2" xfId="8125"/>
    <cellStyle name="Обычный 21 3 2 2 2" xfId="8126"/>
    <cellStyle name="Обычный 21 3 2 2 3" xfId="8127"/>
    <cellStyle name="Обычный 21 3 2 3" xfId="8128"/>
    <cellStyle name="Обычный 21 3 2 4" xfId="8129"/>
    <cellStyle name="Обычный 21 3 3" xfId="8130"/>
    <cellStyle name="Обычный 21 3 3 2" xfId="8131"/>
    <cellStyle name="Обычный 21 3 3 3" xfId="8132"/>
    <cellStyle name="Обычный 21 3 4" xfId="8133"/>
    <cellStyle name="Обычный 21 3 5" xfId="8134"/>
    <cellStyle name="Обычный 21 3 6" xfId="8135"/>
    <cellStyle name="Обычный 21 4" xfId="8136"/>
    <cellStyle name="Обычный 21 4 2" xfId="8137"/>
    <cellStyle name="Обычный 21 4 2 2" xfId="8138"/>
    <cellStyle name="Обычный 21 4 2 2 2" xfId="8139"/>
    <cellStyle name="Обычный 21 4 2 2 3" xfId="8140"/>
    <cellStyle name="Обычный 21 4 2 3" xfId="8141"/>
    <cellStyle name="Обычный 21 4 2 4" xfId="8142"/>
    <cellStyle name="Обычный 21 4 3" xfId="8143"/>
    <cellStyle name="Обычный 21 4 3 2" xfId="8144"/>
    <cellStyle name="Обычный 21 4 3 3" xfId="8145"/>
    <cellStyle name="Обычный 21 4 4" xfId="8146"/>
    <cellStyle name="Обычный 21 4 5" xfId="8147"/>
    <cellStyle name="Обычный 21 5" xfId="8148"/>
    <cellStyle name="Обычный 21 5 2" xfId="8149"/>
    <cellStyle name="Обычный 21 5 2 2" xfId="8150"/>
    <cellStyle name="Обычный 21 5 2 2 2" xfId="8151"/>
    <cellStyle name="Обычный 21 5 2 2 3" xfId="8152"/>
    <cellStyle name="Обычный 21 5 2 3" xfId="8153"/>
    <cellStyle name="Обычный 21 5 2 4" xfId="8154"/>
    <cellStyle name="Обычный 21 5 3" xfId="8155"/>
    <cellStyle name="Обычный 21 5 3 2" xfId="8156"/>
    <cellStyle name="Обычный 21 5 3 3" xfId="8157"/>
    <cellStyle name="Обычный 21 5 4" xfId="8158"/>
    <cellStyle name="Обычный 21 5 5" xfId="8159"/>
    <cellStyle name="Обычный 21 6" xfId="8160"/>
    <cellStyle name="Обычный 21 6 2" xfId="8161"/>
    <cellStyle name="Обычный 21 6 2 2" xfId="8162"/>
    <cellStyle name="Обычный 21 6 2 2 2" xfId="8163"/>
    <cellStyle name="Обычный 21 6 2 2 3" xfId="8164"/>
    <cellStyle name="Обычный 21 6 2 3" xfId="8165"/>
    <cellStyle name="Обычный 21 6 2 4" xfId="8166"/>
    <cellStyle name="Обычный 21 6 3" xfId="8167"/>
    <cellStyle name="Обычный 21 6 3 2" xfId="8168"/>
    <cellStyle name="Обычный 21 6 3 3" xfId="8169"/>
    <cellStyle name="Обычный 21 6 4" xfId="8170"/>
    <cellStyle name="Обычный 21 6 5" xfId="8171"/>
    <cellStyle name="Обычный 21 7" xfId="8172"/>
    <cellStyle name="Обычный 21 7 2" xfId="8173"/>
    <cellStyle name="Обычный 21 7 2 2" xfId="8174"/>
    <cellStyle name="Обычный 21 7 2 2 2" xfId="8175"/>
    <cellStyle name="Обычный 21 7 2 2 3" xfId="8176"/>
    <cellStyle name="Обычный 21 7 2 3" xfId="8177"/>
    <cellStyle name="Обычный 21 7 2 4" xfId="8178"/>
    <cellStyle name="Обычный 21 7 3" xfId="8179"/>
    <cellStyle name="Обычный 21 7 3 2" xfId="8180"/>
    <cellStyle name="Обычный 21 7 3 3" xfId="8181"/>
    <cellStyle name="Обычный 21 7 4" xfId="8182"/>
    <cellStyle name="Обычный 21 7 5" xfId="8183"/>
    <cellStyle name="Обычный 21 8" xfId="8184"/>
    <cellStyle name="Обычный 21 8 2" xfId="8185"/>
    <cellStyle name="Обычный 21 8 2 2" xfId="8186"/>
    <cellStyle name="Обычный 21 8 2 3" xfId="8187"/>
    <cellStyle name="Обычный 21 8 3" xfId="8188"/>
    <cellStyle name="Обычный 21 8 4" xfId="8189"/>
    <cellStyle name="Обычный 21 9" xfId="8190"/>
    <cellStyle name="Обычный 21 9 2" xfId="8191"/>
    <cellStyle name="Обычный 21 9 3" xfId="8192"/>
    <cellStyle name="Обычный 21_Расчет  30 млн_Технополис  Коренькова" xfId="8193"/>
    <cellStyle name="Обычный 22" xfId="8194"/>
    <cellStyle name="Обычный 22 10" xfId="8195"/>
    <cellStyle name="Обычный 22 10 2" xfId="8196"/>
    <cellStyle name="Обычный 22 10 3" xfId="8197"/>
    <cellStyle name="Обычный 22 11" xfId="8198"/>
    <cellStyle name="Обычный 22 12" xfId="8199"/>
    <cellStyle name="Обычный 22 2" xfId="8200"/>
    <cellStyle name="Обычный 22 3" xfId="8201"/>
    <cellStyle name="Обычный 22 3 2" xfId="8202"/>
    <cellStyle name="Обычный 22 3 2 2" xfId="8203"/>
    <cellStyle name="Обычный 22 3 3" xfId="8204"/>
    <cellStyle name="Обычный 22 4" xfId="8205"/>
    <cellStyle name="Обычный 22 4 2" xfId="8206"/>
    <cellStyle name="Обычный 22 4 2 2" xfId="8207"/>
    <cellStyle name="Обычный 22 4 2 2 2" xfId="8208"/>
    <cellStyle name="Обычный 22 4 2 2 3" xfId="8209"/>
    <cellStyle name="Обычный 22 4 2 3" xfId="8210"/>
    <cellStyle name="Обычный 22 4 2 4" xfId="8211"/>
    <cellStyle name="Обычный 22 4 3" xfId="8212"/>
    <cellStyle name="Обычный 22 4 3 2" xfId="8213"/>
    <cellStyle name="Обычный 22 4 3 3" xfId="8214"/>
    <cellStyle name="Обычный 22 4 4" xfId="8215"/>
    <cellStyle name="Обычный 22 4 5" xfId="8216"/>
    <cellStyle name="Обычный 22 5" xfId="8217"/>
    <cellStyle name="Обычный 22 5 2" xfId="8218"/>
    <cellStyle name="Обычный 22 5 2 2" xfId="8219"/>
    <cellStyle name="Обычный 22 5 2 2 2" xfId="8220"/>
    <cellStyle name="Обычный 22 5 2 2 3" xfId="8221"/>
    <cellStyle name="Обычный 22 5 2 3" xfId="8222"/>
    <cellStyle name="Обычный 22 5 2 4" xfId="8223"/>
    <cellStyle name="Обычный 22 5 3" xfId="8224"/>
    <cellStyle name="Обычный 22 5 3 2" xfId="8225"/>
    <cellStyle name="Обычный 22 5 3 3" xfId="8226"/>
    <cellStyle name="Обычный 22 5 4" xfId="8227"/>
    <cellStyle name="Обычный 22 5 5" xfId="8228"/>
    <cellStyle name="Обычный 22 6" xfId="8229"/>
    <cellStyle name="Обычный 22 6 2" xfId="8230"/>
    <cellStyle name="Обычный 22 6 2 2" xfId="8231"/>
    <cellStyle name="Обычный 22 6 2 2 2" xfId="8232"/>
    <cellStyle name="Обычный 22 6 2 2 3" xfId="8233"/>
    <cellStyle name="Обычный 22 6 2 3" xfId="8234"/>
    <cellStyle name="Обычный 22 6 2 4" xfId="8235"/>
    <cellStyle name="Обычный 22 6 3" xfId="8236"/>
    <cellStyle name="Обычный 22 6 3 2" xfId="8237"/>
    <cellStyle name="Обычный 22 6 3 3" xfId="8238"/>
    <cellStyle name="Обычный 22 6 4" xfId="8239"/>
    <cellStyle name="Обычный 22 6 5" xfId="8240"/>
    <cellStyle name="Обычный 22 7" xfId="8241"/>
    <cellStyle name="Обычный 22 7 2" xfId="8242"/>
    <cellStyle name="Обычный 22 7 2 2" xfId="8243"/>
    <cellStyle name="Обычный 22 7 2 2 2" xfId="8244"/>
    <cellStyle name="Обычный 22 7 2 2 3" xfId="8245"/>
    <cellStyle name="Обычный 22 7 2 3" xfId="8246"/>
    <cellStyle name="Обычный 22 7 2 4" xfId="8247"/>
    <cellStyle name="Обычный 22 7 3" xfId="8248"/>
    <cellStyle name="Обычный 22 7 3 2" xfId="8249"/>
    <cellStyle name="Обычный 22 7 3 3" xfId="8250"/>
    <cellStyle name="Обычный 22 7 4" xfId="8251"/>
    <cellStyle name="Обычный 22 7 5" xfId="8252"/>
    <cellStyle name="Обычный 22 8" xfId="8253"/>
    <cellStyle name="Обычный 22 8 2" xfId="8254"/>
    <cellStyle name="Обычный 22 8 2 2" xfId="8255"/>
    <cellStyle name="Обычный 22 8 2 2 2" xfId="8256"/>
    <cellStyle name="Обычный 22 8 2 2 3" xfId="8257"/>
    <cellStyle name="Обычный 22 8 2 3" xfId="8258"/>
    <cellStyle name="Обычный 22 8 2 4" xfId="8259"/>
    <cellStyle name="Обычный 22 8 3" xfId="8260"/>
    <cellStyle name="Обычный 22 8 3 2" xfId="8261"/>
    <cellStyle name="Обычный 22 8 3 3" xfId="8262"/>
    <cellStyle name="Обычный 22 8 4" xfId="8263"/>
    <cellStyle name="Обычный 22 8 5" xfId="8264"/>
    <cellStyle name="Обычный 22 9" xfId="8265"/>
    <cellStyle name="Обычный 22 9 2" xfId="8266"/>
    <cellStyle name="Обычный 22 9 2 2" xfId="8267"/>
    <cellStyle name="Обычный 22 9 2 3" xfId="8268"/>
    <cellStyle name="Обычный 22 9 3" xfId="8269"/>
    <cellStyle name="Обычный 22 9 4" xfId="8270"/>
    <cellStyle name="Обычный 22_Расчет  30 млн_Технополис  Коренькова" xfId="8271"/>
    <cellStyle name="Обычный 23" xfId="8272"/>
    <cellStyle name="Обычный 23 10" xfId="8273"/>
    <cellStyle name="Обычный 23 2" xfId="8274"/>
    <cellStyle name="Обычный 23 2 2" xfId="8275"/>
    <cellStyle name="Обычный 23 2 2 2" xfId="8276"/>
    <cellStyle name="Обычный 23 2 2 2 2" xfId="8277"/>
    <cellStyle name="Обычный 23 2 2 2 3" xfId="8278"/>
    <cellStyle name="Обычный 23 2 2 3" xfId="8279"/>
    <cellStyle name="Обычный 23 2 2 4" xfId="8280"/>
    <cellStyle name="Обычный 23 2 3" xfId="8281"/>
    <cellStyle name="Обычный 23 2 3 2" xfId="8282"/>
    <cellStyle name="Обычный 23 2 3 3" xfId="8283"/>
    <cellStyle name="Обычный 23 2 4" xfId="8284"/>
    <cellStyle name="Обычный 23 2 5" xfId="8285"/>
    <cellStyle name="Обычный 23 2 6" xfId="8286"/>
    <cellStyle name="Обычный 23 3" xfId="8287"/>
    <cellStyle name="Обычный 23 3 2" xfId="8288"/>
    <cellStyle name="Обычный 23 3 2 2" xfId="8289"/>
    <cellStyle name="Обычный 23 3 2 2 2" xfId="8290"/>
    <cellStyle name="Обычный 23 3 2 2 3" xfId="8291"/>
    <cellStyle name="Обычный 23 3 2 3" xfId="8292"/>
    <cellStyle name="Обычный 23 3 2 4" xfId="8293"/>
    <cellStyle name="Обычный 23 3 3" xfId="8294"/>
    <cellStyle name="Обычный 23 3 3 2" xfId="8295"/>
    <cellStyle name="Обычный 23 3 3 3" xfId="8296"/>
    <cellStyle name="Обычный 23 3 4" xfId="8297"/>
    <cellStyle name="Обычный 23 3 5" xfId="8298"/>
    <cellStyle name="Обычный 23 4" xfId="8299"/>
    <cellStyle name="Обычный 23 4 2" xfId="8300"/>
    <cellStyle name="Обычный 23 4 2 2" xfId="8301"/>
    <cellStyle name="Обычный 23 4 2 2 2" xfId="8302"/>
    <cellStyle name="Обычный 23 4 2 2 3" xfId="8303"/>
    <cellStyle name="Обычный 23 4 2 3" xfId="8304"/>
    <cellStyle name="Обычный 23 4 2 4" xfId="8305"/>
    <cellStyle name="Обычный 23 4 3" xfId="8306"/>
    <cellStyle name="Обычный 23 4 3 2" xfId="8307"/>
    <cellStyle name="Обычный 23 4 3 3" xfId="8308"/>
    <cellStyle name="Обычный 23 4 4" xfId="8309"/>
    <cellStyle name="Обычный 23 4 5" xfId="8310"/>
    <cellStyle name="Обычный 23 5" xfId="8311"/>
    <cellStyle name="Обычный 23 5 2" xfId="8312"/>
    <cellStyle name="Обычный 23 5 2 2" xfId="8313"/>
    <cellStyle name="Обычный 23 5 2 2 2" xfId="8314"/>
    <cellStyle name="Обычный 23 5 2 2 3" xfId="8315"/>
    <cellStyle name="Обычный 23 5 2 3" xfId="8316"/>
    <cellStyle name="Обычный 23 5 2 4" xfId="8317"/>
    <cellStyle name="Обычный 23 5 3" xfId="8318"/>
    <cellStyle name="Обычный 23 5 3 2" xfId="8319"/>
    <cellStyle name="Обычный 23 5 3 3" xfId="8320"/>
    <cellStyle name="Обычный 23 5 4" xfId="8321"/>
    <cellStyle name="Обычный 23 5 5" xfId="8322"/>
    <cellStyle name="Обычный 23 6" xfId="8323"/>
    <cellStyle name="Обычный 23 6 2" xfId="8324"/>
    <cellStyle name="Обычный 23 6 2 2" xfId="8325"/>
    <cellStyle name="Обычный 23 6 2 2 2" xfId="8326"/>
    <cellStyle name="Обычный 23 6 2 2 3" xfId="8327"/>
    <cellStyle name="Обычный 23 6 2 3" xfId="8328"/>
    <cellStyle name="Обычный 23 6 2 4" xfId="8329"/>
    <cellStyle name="Обычный 23 6 3" xfId="8330"/>
    <cellStyle name="Обычный 23 6 3 2" xfId="8331"/>
    <cellStyle name="Обычный 23 6 3 3" xfId="8332"/>
    <cellStyle name="Обычный 23 6 4" xfId="8333"/>
    <cellStyle name="Обычный 23 6 5" xfId="8334"/>
    <cellStyle name="Обычный 23 7" xfId="8335"/>
    <cellStyle name="Обычный 23 7 2" xfId="8336"/>
    <cellStyle name="Обычный 23 7 2 2" xfId="8337"/>
    <cellStyle name="Обычный 23 7 2 3" xfId="8338"/>
    <cellStyle name="Обычный 23 7 3" xfId="8339"/>
    <cellStyle name="Обычный 23 7 4" xfId="8340"/>
    <cellStyle name="Обычный 23 8" xfId="8341"/>
    <cellStyle name="Обычный 23 8 2" xfId="8342"/>
    <cellStyle name="Обычный 23 8 3" xfId="8343"/>
    <cellStyle name="Обычный 23 9" xfId="8344"/>
    <cellStyle name="Обычный 23_Расчет  30 млн_Технополис  Коренькова" xfId="8345"/>
    <cellStyle name="Обычный 24" xfId="8346"/>
    <cellStyle name="Обычный 24 10" xfId="8347"/>
    <cellStyle name="Обычный 24 10 2" xfId="8348"/>
    <cellStyle name="Обычный 24 10 3" xfId="8349"/>
    <cellStyle name="Обычный 24 11" xfId="8350"/>
    <cellStyle name="Обычный 24 12" xfId="8351"/>
    <cellStyle name="Обычный 24 2" xfId="8352"/>
    <cellStyle name="Обычный 24 2 2" xfId="8353"/>
    <cellStyle name="Обычный 24 2 2 2" xfId="8354"/>
    <cellStyle name="Обычный 24 2 2 2 2" xfId="8355"/>
    <cellStyle name="Обычный 24 2 2 2 3" xfId="8356"/>
    <cellStyle name="Обычный 24 2 2 3" xfId="8357"/>
    <cellStyle name="Обычный 24 2 2 4" xfId="8358"/>
    <cellStyle name="Обычный 24 2 3" xfId="8359"/>
    <cellStyle name="Обычный 24 2 3 2" xfId="8360"/>
    <cellStyle name="Обычный 24 2 3 3" xfId="8361"/>
    <cellStyle name="Обычный 24 2 4" xfId="8362"/>
    <cellStyle name="Обычный 24 2 5" xfId="8363"/>
    <cellStyle name="Обычный 24 2 6" xfId="8364"/>
    <cellStyle name="Обычный 24 3" xfId="8365"/>
    <cellStyle name="Обычный 24 3 2" xfId="8366"/>
    <cellStyle name="Обычный 24 3 2 2" xfId="8367"/>
    <cellStyle name="Обычный 24 3 2 2 2" xfId="8368"/>
    <cellStyle name="Обычный 24 3 2 2 3" xfId="8369"/>
    <cellStyle name="Обычный 24 3 2 3" xfId="8370"/>
    <cellStyle name="Обычный 24 3 2 4" xfId="8371"/>
    <cellStyle name="Обычный 24 3 3" xfId="8372"/>
    <cellStyle name="Обычный 24 3 3 2" xfId="8373"/>
    <cellStyle name="Обычный 24 3 3 3" xfId="8374"/>
    <cellStyle name="Обычный 24 3 4" xfId="8375"/>
    <cellStyle name="Обычный 24 3 5" xfId="8376"/>
    <cellStyle name="Обычный 24 4" xfId="8377"/>
    <cellStyle name="Обычный 24 4 2" xfId="8378"/>
    <cellStyle name="Обычный 24 4 2 2" xfId="8379"/>
    <cellStyle name="Обычный 24 4 2 2 2" xfId="8380"/>
    <cellStyle name="Обычный 24 4 2 2 3" xfId="8381"/>
    <cellStyle name="Обычный 24 4 2 3" xfId="8382"/>
    <cellStyle name="Обычный 24 4 2 4" xfId="8383"/>
    <cellStyle name="Обычный 24 4 3" xfId="8384"/>
    <cellStyle name="Обычный 24 4 3 2" xfId="8385"/>
    <cellStyle name="Обычный 24 4 3 3" xfId="8386"/>
    <cellStyle name="Обычный 24 4 4" xfId="8387"/>
    <cellStyle name="Обычный 24 4 5" xfId="8388"/>
    <cellStyle name="Обычный 24 5" xfId="8389"/>
    <cellStyle name="Обычный 24 5 2" xfId="8390"/>
    <cellStyle name="Обычный 24 5 2 2" xfId="8391"/>
    <cellStyle name="Обычный 24 5 2 2 2" xfId="8392"/>
    <cellStyle name="Обычный 24 5 2 2 3" xfId="8393"/>
    <cellStyle name="Обычный 24 5 2 3" xfId="8394"/>
    <cellStyle name="Обычный 24 5 2 4" xfId="8395"/>
    <cellStyle name="Обычный 24 5 3" xfId="8396"/>
    <cellStyle name="Обычный 24 5 3 2" xfId="8397"/>
    <cellStyle name="Обычный 24 5 3 3" xfId="8398"/>
    <cellStyle name="Обычный 24 5 4" xfId="8399"/>
    <cellStyle name="Обычный 24 5 5" xfId="8400"/>
    <cellStyle name="Обычный 24 6" xfId="8401"/>
    <cellStyle name="Обычный 24 6 2" xfId="8402"/>
    <cellStyle name="Обычный 24 6 2 2" xfId="8403"/>
    <cellStyle name="Обычный 24 6 2 2 2" xfId="8404"/>
    <cellStyle name="Обычный 24 6 2 2 3" xfId="8405"/>
    <cellStyle name="Обычный 24 6 2 3" xfId="8406"/>
    <cellStyle name="Обычный 24 6 2 4" xfId="8407"/>
    <cellStyle name="Обычный 24 6 3" xfId="8408"/>
    <cellStyle name="Обычный 24 6 3 2" xfId="8409"/>
    <cellStyle name="Обычный 24 6 3 3" xfId="8410"/>
    <cellStyle name="Обычный 24 6 4" xfId="8411"/>
    <cellStyle name="Обычный 24 6 5" xfId="8412"/>
    <cellStyle name="Обычный 24 7" xfId="8413"/>
    <cellStyle name="Обычный 24 7 2" xfId="8414"/>
    <cellStyle name="Обычный 24 7 2 2" xfId="8415"/>
    <cellStyle name="Обычный 24 7 2 2 2" xfId="8416"/>
    <cellStyle name="Обычный 24 7 2 2 3" xfId="8417"/>
    <cellStyle name="Обычный 24 7 2 3" xfId="8418"/>
    <cellStyle name="Обычный 24 7 2 4" xfId="8419"/>
    <cellStyle name="Обычный 24 7 3" xfId="8420"/>
    <cellStyle name="Обычный 24 7 3 2" xfId="8421"/>
    <cellStyle name="Обычный 24 7 3 3" xfId="8422"/>
    <cellStyle name="Обычный 24 7 4" xfId="8423"/>
    <cellStyle name="Обычный 24 7 5" xfId="8424"/>
    <cellStyle name="Обычный 24 8" xfId="8425"/>
    <cellStyle name="Обычный 24 8 2" xfId="8426"/>
    <cellStyle name="Обычный 24 8 2 2" xfId="8427"/>
    <cellStyle name="Обычный 24 8 2 3" xfId="8428"/>
    <cellStyle name="Обычный 24 8 3" xfId="8429"/>
    <cellStyle name="Обычный 24 8 4" xfId="8430"/>
    <cellStyle name="Обычный 24 9" xfId="8431"/>
    <cellStyle name="Обычный 24 9 2" xfId="8432"/>
    <cellStyle name="Обычный 24 9 2 2" xfId="8433"/>
    <cellStyle name="Обычный 24 9 2 3" xfId="8434"/>
    <cellStyle name="Обычный 24 9 3" xfId="8435"/>
    <cellStyle name="Обычный 24 9 4" xfId="8436"/>
    <cellStyle name="Обычный 24_Расчет  30 млн_Технополис  Коренькова" xfId="8437"/>
    <cellStyle name="Обычный 25" xfId="8438"/>
    <cellStyle name="Обычный 25 10" xfId="8439"/>
    <cellStyle name="Обычный 25 10 2" xfId="8440"/>
    <cellStyle name="Обычный 25 10 2 2" xfId="8441"/>
    <cellStyle name="Обычный 25 10 2 3" xfId="8442"/>
    <cellStyle name="Обычный 25 10 3" xfId="8443"/>
    <cellStyle name="Обычный 25 10 4" xfId="8444"/>
    <cellStyle name="Обычный 25 11" xfId="8445"/>
    <cellStyle name="Обычный 25 11 2" xfId="8446"/>
    <cellStyle name="Обычный 25 11 3" xfId="8447"/>
    <cellStyle name="Обычный 25 12" xfId="8448"/>
    <cellStyle name="Обычный 25 13" xfId="8449"/>
    <cellStyle name="Обычный 25 2" xfId="8450"/>
    <cellStyle name="Обычный 25 2 2" xfId="8451"/>
    <cellStyle name="Обычный 25 2 2 2" xfId="8452"/>
    <cellStyle name="Обычный 25 2 2 2 2" xfId="8453"/>
    <cellStyle name="Обычный 25 2 2 2 2 2" xfId="8454"/>
    <cellStyle name="Обычный 25 2 2 2 2 3" xfId="8455"/>
    <cellStyle name="Обычный 25 2 2 2 3" xfId="8456"/>
    <cellStyle name="Обычный 25 2 2 2 4" xfId="8457"/>
    <cellStyle name="Обычный 25 2 2 3" xfId="8458"/>
    <cellStyle name="Обычный 25 2 2 3 2" xfId="8459"/>
    <cellStyle name="Обычный 25 2 2 3 3" xfId="8460"/>
    <cellStyle name="Обычный 25 2 2 4" xfId="8461"/>
    <cellStyle name="Обычный 25 2 2 5" xfId="8462"/>
    <cellStyle name="Обычный 25 2 3" xfId="8463"/>
    <cellStyle name="Обычный 25 2 3 2" xfId="8464"/>
    <cellStyle name="Обычный 25 2 3 2 2" xfId="8465"/>
    <cellStyle name="Обычный 25 2 3 2 3" xfId="8466"/>
    <cellStyle name="Обычный 25 2 3 3" xfId="8467"/>
    <cellStyle name="Обычный 25 2 3 4" xfId="8468"/>
    <cellStyle name="Обычный 25 2 4" xfId="8469"/>
    <cellStyle name="Обычный 25 2 4 2" xfId="8470"/>
    <cellStyle name="Обычный 25 2 4 3" xfId="8471"/>
    <cellStyle name="Обычный 25 2 5" xfId="8472"/>
    <cellStyle name="Обычный 25 2 6" xfId="8473"/>
    <cellStyle name="Обычный 25 2_Расчет  30 млн_Технополис  Коренькова" xfId="8474"/>
    <cellStyle name="Обычный 25 3" xfId="8475"/>
    <cellStyle name="Обычный 25 4" xfId="8476"/>
    <cellStyle name="Обычный 25 4 2" xfId="8477"/>
    <cellStyle name="Обычный 25 4 2 2" xfId="8478"/>
    <cellStyle name="Обычный 25 4 2 2 2" xfId="8479"/>
    <cellStyle name="Обычный 25 4 2 2 3" xfId="8480"/>
    <cellStyle name="Обычный 25 4 2 3" xfId="8481"/>
    <cellStyle name="Обычный 25 4 2 4" xfId="8482"/>
    <cellStyle name="Обычный 25 4 3" xfId="8483"/>
    <cellStyle name="Обычный 25 4 3 2" xfId="8484"/>
    <cellStyle name="Обычный 25 4 3 3" xfId="8485"/>
    <cellStyle name="Обычный 25 4 4" xfId="8486"/>
    <cellStyle name="Обычный 25 4 5" xfId="8487"/>
    <cellStyle name="Обычный 25 5" xfId="8488"/>
    <cellStyle name="Обычный 25 5 2" xfId="8489"/>
    <cellStyle name="Обычный 25 5 2 2" xfId="8490"/>
    <cellStyle name="Обычный 25 5 2 2 2" xfId="8491"/>
    <cellStyle name="Обычный 25 5 2 2 3" xfId="8492"/>
    <cellStyle name="Обычный 25 5 2 3" xfId="8493"/>
    <cellStyle name="Обычный 25 5 2 4" xfId="8494"/>
    <cellStyle name="Обычный 25 5 3" xfId="8495"/>
    <cellStyle name="Обычный 25 5 3 2" xfId="8496"/>
    <cellStyle name="Обычный 25 5 3 3" xfId="8497"/>
    <cellStyle name="Обычный 25 5 4" xfId="8498"/>
    <cellStyle name="Обычный 25 5 5" xfId="8499"/>
    <cellStyle name="Обычный 25 6" xfId="8500"/>
    <cellStyle name="Обычный 25 6 2" xfId="8501"/>
    <cellStyle name="Обычный 25 6 2 2" xfId="8502"/>
    <cellStyle name="Обычный 25 6 2 2 2" xfId="8503"/>
    <cellStyle name="Обычный 25 6 2 2 3" xfId="8504"/>
    <cellStyle name="Обычный 25 6 2 3" xfId="8505"/>
    <cellStyle name="Обычный 25 6 2 4" xfId="8506"/>
    <cellStyle name="Обычный 25 6 3" xfId="8507"/>
    <cellStyle name="Обычный 25 6 3 2" xfId="8508"/>
    <cellStyle name="Обычный 25 6 3 3" xfId="8509"/>
    <cellStyle name="Обычный 25 6 4" xfId="8510"/>
    <cellStyle name="Обычный 25 6 5" xfId="8511"/>
    <cellStyle name="Обычный 25 7" xfId="8512"/>
    <cellStyle name="Обычный 25 7 2" xfId="8513"/>
    <cellStyle name="Обычный 25 7 2 2" xfId="8514"/>
    <cellStyle name="Обычный 25 7 2 2 2" xfId="8515"/>
    <cellStyle name="Обычный 25 7 2 2 3" xfId="8516"/>
    <cellStyle name="Обычный 25 7 2 3" xfId="8517"/>
    <cellStyle name="Обычный 25 7 2 4" xfId="8518"/>
    <cellStyle name="Обычный 25 7 3" xfId="8519"/>
    <cellStyle name="Обычный 25 7 3 2" xfId="8520"/>
    <cellStyle name="Обычный 25 7 3 3" xfId="8521"/>
    <cellStyle name="Обычный 25 7 4" xfId="8522"/>
    <cellStyle name="Обычный 25 7 5" xfId="8523"/>
    <cellStyle name="Обычный 25 8" xfId="8524"/>
    <cellStyle name="Обычный 25 8 2" xfId="8525"/>
    <cellStyle name="Обычный 25 8 2 2" xfId="8526"/>
    <cellStyle name="Обычный 25 8 2 3" xfId="8527"/>
    <cellStyle name="Обычный 25 8 3" xfId="8528"/>
    <cellStyle name="Обычный 25 8 4" xfId="8529"/>
    <cellStyle name="Обычный 25 9" xfId="8530"/>
    <cellStyle name="Обычный 25 9 2" xfId="8531"/>
    <cellStyle name="Обычный 25 9 2 2" xfId="8532"/>
    <cellStyle name="Обычный 25 9 2 3" xfId="8533"/>
    <cellStyle name="Обычный 25 9 3" xfId="8534"/>
    <cellStyle name="Обычный 25 9 4" xfId="8535"/>
    <cellStyle name="Обычный 25_Расчет  30 млн_Технополис  Коренькова" xfId="8536"/>
    <cellStyle name="Обычный 26" xfId="8537"/>
    <cellStyle name="Обычный 26 10" xfId="8538"/>
    <cellStyle name="Обычный 26 10 2" xfId="8539"/>
    <cellStyle name="Обычный 26 10 2 2" xfId="8540"/>
    <cellStyle name="Обычный 26 10 2 3" xfId="8541"/>
    <cellStyle name="Обычный 26 10 3" xfId="8542"/>
    <cellStyle name="Обычный 26 10 4" xfId="8543"/>
    <cellStyle name="Обычный 26 11" xfId="8544"/>
    <cellStyle name="Обычный 26 11 2" xfId="8545"/>
    <cellStyle name="Обычный 26 11 3" xfId="8546"/>
    <cellStyle name="Обычный 26 12" xfId="8547"/>
    <cellStyle name="Обычный 26 13" xfId="8548"/>
    <cellStyle name="Обычный 26 2" xfId="8549"/>
    <cellStyle name="Обычный 26 2 2" xfId="8550"/>
    <cellStyle name="Обычный 26 2 2 2" xfId="8551"/>
    <cellStyle name="Обычный 26 2 2 2 2" xfId="8552"/>
    <cellStyle name="Обычный 26 2 2 2 2 2" xfId="8553"/>
    <cellStyle name="Обычный 26 2 2 2 2 3" xfId="8554"/>
    <cellStyle name="Обычный 26 2 2 2 3" xfId="8555"/>
    <cellStyle name="Обычный 26 2 2 2 4" xfId="8556"/>
    <cellStyle name="Обычный 26 2 2 3" xfId="8557"/>
    <cellStyle name="Обычный 26 2 2 3 2" xfId="8558"/>
    <cellStyle name="Обычный 26 2 2 3 3" xfId="8559"/>
    <cellStyle name="Обычный 26 2 2 4" xfId="8560"/>
    <cellStyle name="Обычный 26 2 2 5" xfId="8561"/>
    <cellStyle name="Обычный 26 2 3" xfId="8562"/>
    <cellStyle name="Обычный 26 2 3 2" xfId="8563"/>
    <cellStyle name="Обычный 26 2 3 2 2" xfId="8564"/>
    <cellStyle name="Обычный 26 2 3 2 3" xfId="8565"/>
    <cellStyle name="Обычный 26 2 3 3" xfId="8566"/>
    <cellStyle name="Обычный 26 2 3 4" xfId="8567"/>
    <cellStyle name="Обычный 26 2 4" xfId="8568"/>
    <cellStyle name="Обычный 26 2 4 2" xfId="8569"/>
    <cellStyle name="Обычный 26 2 4 3" xfId="8570"/>
    <cellStyle name="Обычный 26 2 5" xfId="8571"/>
    <cellStyle name="Обычный 26 2 6" xfId="8572"/>
    <cellStyle name="Обычный 26 2_Расчет  30 млн_Технополис  Коренькова" xfId="8573"/>
    <cellStyle name="Обычный 26 3" xfId="8574"/>
    <cellStyle name="Обычный 26 4" xfId="8575"/>
    <cellStyle name="Обычный 26 4 2" xfId="8576"/>
    <cellStyle name="Обычный 26 4 2 2" xfId="8577"/>
    <cellStyle name="Обычный 26 4 2 2 2" xfId="8578"/>
    <cellStyle name="Обычный 26 4 2 2 3" xfId="8579"/>
    <cellStyle name="Обычный 26 4 2 3" xfId="8580"/>
    <cellStyle name="Обычный 26 4 2 4" xfId="8581"/>
    <cellStyle name="Обычный 26 4 3" xfId="8582"/>
    <cellStyle name="Обычный 26 4 3 2" xfId="8583"/>
    <cellStyle name="Обычный 26 4 3 3" xfId="8584"/>
    <cellStyle name="Обычный 26 4 4" xfId="8585"/>
    <cellStyle name="Обычный 26 4 5" xfId="8586"/>
    <cellStyle name="Обычный 26 5" xfId="8587"/>
    <cellStyle name="Обычный 26 5 2" xfId="8588"/>
    <cellStyle name="Обычный 26 5 2 2" xfId="8589"/>
    <cellStyle name="Обычный 26 5 2 2 2" xfId="8590"/>
    <cellStyle name="Обычный 26 5 2 2 3" xfId="8591"/>
    <cellStyle name="Обычный 26 5 2 3" xfId="8592"/>
    <cellStyle name="Обычный 26 5 2 4" xfId="8593"/>
    <cellStyle name="Обычный 26 5 3" xfId="8594"/>
    <cellStyle name="Обычный 26 5 3 2" xfId="8595"/>
    <cellStyle name="Обычный 26 5 3 3" xfId="8596"/>
    <cellStyle name="Обычный 26 5 4" xfId="8597"/>
    <cellStyle name="Обычный 26 5 5" xfId="8598"/>
    <cellStyle name="Обычный 26 6" xfId="8599"/>
    <cellStyle name="Обычный 26 6 2" xfId="8600"/>
    <cellStyle name="Обычный 26 6 2 2" xfId="8601"/>
    <cellStyle name="Обычный 26 6 2 2 2" xfId="8602"/>
    <cellStyle name="Обычный 26 6 2 2 3" xfId="8603"/>
    <cellStyle name="Обычный 26 6 2 3" xfId="8604"/>
    <cellStyle name="Обычный 26 6 2 4" xfId="8605"/>
    <cellStyle name="Обычный 26 6 3" xfId="8606"/>
    <cellStyle name="Обычный 26 6 3 2" xfId="8607"/>
    <cellStyle name="Обычный 26 6 3 3" xfId="8608"/>
    <cellStyle name="Обычный 26 6 4" xfId="8609"/>
    <cellStyle name="Обычный 26 6 5" xfId="8610"/>
    <cellStyle name="Обычный 26 7" xfId="8611"/>
    <cellStyle name="Обычный 26 7 2" xfId="8612"/>
    <cellStyle name="Обычный 26 7 2 2" xfId="8613"/>
    <cellStyle name="Обычный 26 7 2 2 2" xfId="8614"/>
    <cellStyle name="Обычный 26 7 2 2 3" xfId="8615"/>
    <cellStyle name="Обычный 26 7 2 3" xfId="8616"/>
    <cellStyle name="Обычный 26 7 2 4" xfId="8617"/>
    <cellStyle name="Обычный 26 7 3" xfId="8618"/>
    <cellStyle name="Обычный 26 7 3 2" xfId="8619"/>
    <cellStyle name="Обычный 26 7 3 3" xfId="8620"/>
    <cellStyle name="Обычный 26 7 4" xfId="8621"/>
    <cellStyle name="Обычный 26 7 5" xfId="8622"/>
    <cellStyle name="Обычный 26 8" xfId="8623"/>
    <cellStyle name="Обычный 26 8 2" xfId="8624"/>
    <cellStyle name="Обычный 26 8 2 2" xfId="8625"/>
    <cellStyle name="Обычный 26 8 2 3" xfId="8626"/>
    <cellStyle name="Обычный 26 8 3" xfId="8627"/>
    <cellStyle name="Обычный 26 8 4" xfId="8628"/>
    <cellStyle name="Обычный 26 9" xfId="8629"/>
    <cellStyle name="Обычный 26 9 2" xfId="8630"/>
    <cellStyle name="Обычный 26 9 2 2" xfId="8631"/>
    <cellStyle name="Обычный 26 9 2 3" xfId="8632"/>
    <cellStyle name="Обычный 26 9 3" xfId="8633"/>
    <cellStyle name="Обычный 26 9 4" xfId="8634"/>
    <cellStyle name="Обычный 26_Расчет  30 млн_Технополис  Коренькова" xfId="8635"/>
    <cellStyle name="Обычный 27" xfId="8636"/>
    <cellStyle name="Обычный 27 10" xfId="8637"/>
    <cellStyle name="Обычный 27 2" xfId="8638"/>
    <cellStyle name="Обычный 27 3" xfId="8639"/>
    <cellStyle name="Обычный 27 3 2" xfId="8640"/>
    <cellStyle name="Обычный 27 3 2 2" xfId="8641"/>
    <cellStyle name="Обычный 27 3 2 2 2" xfId="8642"/>
    <cellStyle name="Обычный 27 3 2 2 3" xfId="8643"/>
    <cellStyle name="Обычный 27 3 2 3" xfId="8644"/>
    <cellStyle name="Обычный 27 3 2 4" xfId="8645"/>
    <cellStyle name="Обычный 27 3 3" xfId="8646"/>
    <cellStyle name="Обычный 27 3 3 2" xfId="8647"/>
    <cellStyle name="Обычный 27 3 3 3" xfId="8648"/>
    <cellStyle name="Обычный 27 3 4" xfId="8649"/>
    <cellStyle name="Обычный 27 3 5" xfId="8650"/>
    <cellStyle name="Обычный 27 4" xfId="8651"/>
    <cellStyle name="Обычный 27 4 2" xfId="8652"/>
    <cellStyle name="Обычный 27 4 2 2" xfId="8653"/>
    <cellStyle name="Обычный 27 4 2 2 2" xfId="8654"/>
    <cellStyle name="Обычный 27 4 2 2 3" xfId="8655"/>
    <cellStyle name="Обычный 27 4 2 3" xfId="8656"/>
    <cellStyle name="Обычный 27 4 2 4" xfId="8657"/>
    <cellStyle name="Обычный 27 4 3" xfId="8658"/>
    <cellStyle name="Обычный 27 4 3 2" xfId="8659"/>
    <cellStyle name="Обычный 27 4 3 3" xfId="8660"/>
    <cellStyle name="Обычный 27 4 4" xfId="8661"/>
    <cellStyle name="Обычный 27 4 5" xfId="8662"/>
    <cellStyle name="Обычный 27 5" xfId="8663"/>
    <cellStyle name="Обычный 27 5 2" xfId="8664"/>
    <cellStyle name="Обычный 27 5 2 2" xfId="8665"/>
    <cellStyle name="Обычный 27 5 2 2 2" xfId="8666"/>
    <cellStyle name="Обычный 27 5 2 2 3" xfId="8667"/>
    <cellStyle name="Обычный 27 5 2 3" xfId="8668"/>
    <cellStyle name="Обычный 27 5 2 4" xfId="8669"/>
    <cellStyle name="Обычный 27 5 3" xfId="8670"/>
    <cellStyle name="Обычный 27 5 3 2" xfId="8671"/>
    <cellStyle name="Обычный 27 5 3 3" xfId="8672"/>
    <cellStyle name="Обычный 27 5 4" xfId="8673"/>
    <cellStyle name="Обычный 27 5 5" xfId="8674"/>
    <cellStyle name="Обычный 27 6" xfId="8675"/>
    <cellStyle name="Обычный 27 6 2" xfId="8676"/>
    <cellStyle name="Обычный 27 6 2 2" xfId="8677"/>
    <cellStyle name="Обычный 27 6 2 2 2" xfId="8678"/>
    <cellStyle name="Обычный 27 6 2 2 3" xfId="8679"/>
    <cellStyle name="Обычный 27 6 2 3" xfId="8680"/>
    <cellStyle name="Обычный 27 6 2 4" xfId="8681"/>
    <cellStyle name="Обычный 27 6 3" xfId="8682"/>
    <cellStyle name="Обычный 27 6 3 2" xfId="8683"/>
    <cellStyle name="Обычный 27 6 3 3" xfId="8684"/>
    <cellStyle name="Обычный 27 6 4" xfId="8685"/>
    <cellStyle name="Обычный 27 6 5" xfId="8686"/>
    <cellStyle name="Обычный 27 7" xfId="8687"/>
    <cellStyle name="Обычный 27 7 2" xfId="8688"/>
    <cellStyle name="Обычный 27 7 2 2" xfId="8689"/>
    <cellStyle name="Обычный 27 7 2 3" xfId="8690"/>
    <cellStyle name="Обычный 27 7 3" xfId="8691"/>
    <cellStyle name="Обычный 27 7 4" xfId="8692"/>
    <cellStyle name="Обычный 27 8" xfId="8693"/>
    <cellStyle name="Обычный 27 8 2" xfId="8694"/>
    <cellStyle name="Обычный 27 8 3" xfId="8695"/>
    <cellStyle name="Обычный 27 9" xfId="8696"/>
    <cellStyle name="Обычный 27_Расчет  30 млн_Технополис  Коренькова" xfId="8697"/>
    <cellStyle name="Обычный 28" xfId="8698"/>
    <cellStyle name="Обычный 28 10" xfId="8699"/>
    <cellStyle name="Обычный 28 10 2" xfId="8700"/>
    <cellStyle name="Обычный 28 10 2 2" xfId="8701"/>
    <cellStyle name="Обычный 28 10 2 3" xfId="8702"/>
    <cellStyle name="Обычный 28 10 3" xfId="8703"/>
    <cellStyle name="Обычный 28 10 4" xfId="8704"/>
    <cellStyle name="Обычный 28 11" xfId="8705"/>
    <cellStyle name="Обычный 28 11 2" xfId="8706"/>
    <cellStyle name="Обычный 28 11 2 2" xfId="8707"/>
    <cellStyle name="Обычный 28 11 2 3" xfId="8708"/>
    <cellStyle name="Обычный 28 11 3" xfId="8709"/>
    <cellStyle name="Обычный 28 11 4" xfId="8710"/>
    <cellStyle name="Обычный 28 12" xfId="8711"/>
    <cellStyle name="Обычный 28 12 2" xfId="8712"/>
    <cellStyle name="Обычный 28 12 2 2" xfId="8713"/>
    <cellStyle name="Обычный 28 12 2 3" xfId="8714"/>
    <cellStyle name="Обычный 28 12 3" xfId="8715"/>
    <cellStyle name="Обычный 28 12 4" xfId="8716"/>
    <cellStyle name="Обычный 28 13" xfId="8717"/>
    <cellStyle name="Обычный 28 14" xfId="8718"/>
    <cellStyle name="Обычный 28 15" xfId="8719"/>
    <cellStyle name="Обычный 28 2" xfId="8720"/>
    <cellStyle name="Обычный 28 2 2" xfId="8721"/>
    <cellStyle name="Обычный 28 2 2 2" xfId="8722"/>
    <cellStyle name="Обычный 28 2 2 2 2" xfId="8723"/>
    <cellStyle name="Обычный 28 2 2 2 2 2" xfId="8724"/>
    <cellStyle name="Обычный 28 2 2 2 2 3" xfId="8725"/>
    <cellStyle name="Обычный 28 2 2 2 3" xfId="8726"/>
    <cellStyle name="Обычный 28 2 2 2 4" xfId="8727"/>
    <cellStyle name="Обычный 28 2 2 3" xfId="8728"/>
    <cellStyle name="Обычный 28 2 2 3 2" xfId="8729"/>
    <cellStyle name="Обычный 28 2 2 3 3" xfId="8730"/>
    <cellStyle name="Обычный 28 2 2 4" xfId="8731"/>
    <cellStyle name="Обычный 28 2 2 5" xfId="8732"/>
    <cellStyle name="Обычный 28 2 3" xfId="8733"/>
    <cellStyle name="Обычный 28 2 3 2" xfId="8734"/>
    <cellStyle name="Обычный 28 2 3 2 2" xfId="8735"/>
    <cellStyle name="Обычный 28 2 3 2 3" xfId="8736"/>
    <cellStyle name="Обычный 28 2 3 3" xfId="8737"/>
    <cellStyle name="Обычный 28 2 3 4" xfId="8738"/>
    <cellStyle name="Обычный 28 2 4" xfId="8739"/>
    <cellStyle name="Обычный 28 2 4 2" xfId="8740"/>
    <cellStyle name="Обычный 28 2 4 3" xfId="8741"/>
    <cellStyle name="Обычный 28 2 5" xfId="8742"/>
    <cellStyle name="Обычный 28 2 6" xfId="8743"/>
    <cellStyle name="Обычный 28 2 7" xfId="8744"/>
    <cellStyle name="Обычный 28 2_Расчет  30 млн_Технополис  Коренькова" xfId="8745"/>
    <cellStyle name="Обычный 28 3" xfId="8746"/>
    <cellStyle name="Обычный 28 3 2" xfId="8747"/>
    <cellStyle name="Обычный 28 3 2 2" xfId="8748"/>
    <cellStyle name="Обычный 28 3 2 2 2" xfId="8749"/>
    <cellStyle name="Обычный 28 3 2 2 3" xfId="8750"/>
    <cellStyle name="Обычный 28 3 2 3" xfId="8751"/>
    <cellStyle name="Обычный 28 3 2 4" xfId="8752"/>
    <cellStyle name="Обычный 28 3 3" xfId="8753"/>
    <cellStyle name="Обычный 28 3 3 2" xfId="8754"/>
    <cellStyle name="Обычный 28 3 3 3" xfId="8755"/>
    <cellStyle name="Обычный 28 3 4" xfId="8756"/>
    <cellStyle name="Обычный 28 3 5" xfId="8757"/>
    <cellStyle name="Обычный 28 4" xfId="8758"/>
    <cellStyle name="Обычный 28 4 2" xfId="8759"/>
    <cellStyle name="Обычный 28 4 2 2" xfId="8760"/>
    <cellStyle name="Обычный 28 4 2 2 2" xfId="8761"/>
    <cellStyle name="Обычный 28 4 2 2 3" xfId="8762"/>
    <cellStyle name="Обычный 28 4 2 3" xfId="8763"/>
    <cellStyle name="Обычный 28 4 2 4" xfId="8764"/>
    <cellStyle name="Обычный 28 4 3" xfId="8765"/>
    <cellStyle name="Обычный 28 4 3 2" xfId="8766"/>
    <cellStyle name="Обычный 28 4 3 3" xfId="8767"/>
    <cellStyle name="Обычный 28 4 4" xfId="8768"/>
    <cellStyle name="Обычный 28 4 5" xfId="8769"/>
    <cellStyle name="Обычный 28 5" xfId="8770"/>
    <cellStyle name="Обычный 28 5 2" xfId="8771"/>
    <cellStyle name="Обычный 28 5 2 2" xfId="8772"/>
    <cellStyle name="Обычный 28 5 2 2 2" xfId="8773"/>
    <cellStyle name="Обычный 28 5 2 2 3" xfId="8774"/>
    <cellStyle name="Обычный 28 5 2 3" xfId="8775"/>
    <cellStyle name="Обычный 28 5 2 4" xfId="8776"/>
    <cellStyle name="Обычный 28 5 3" xfId="8777"/>
    <cellStyle name="Обычный 28 5 3 2" xfId="8778"/>
    <cellStyle name="Обычный 28 5 3 3" xfId="8779"/>
    <cellStyle name="Обычный 28 5 4" xfId="8780"/>
    <cellStyle name="Обычный 28 5 5" xfId="8781"/>
    <cellStyle name="Обычный 28 6" xfId="8782"/>
    <cellStyle name="Обычный 28 6 2" xfId="8783"/>
    <cellStyle name="Обычный 28 6 2 2" xfId="8784"/>
    <cellStyle name="Обычный 28 6 2 2 2" xfId="8785"/>
    <cellStyle name="Обычный 28 6 2 2 3" xfId="8786"/>
    <cellStyle name="Обычный 28 6 2 3" xfId="8787"/>
    <cellStyle name="Обычный 28 6 2 4" xfId="8788"/>
    <cellStyle name="Обычный 28 6 3" xfId="8789"/>
    <cellStyle name="Обычный 28 6 3 2" xfId="8790"/>
    <cellStyle name="Обычный 28 6 3 3" xfId="8791"/>
    <cellStyle name="Обычный 28 6 4" xfId="8792"/>
    <cellStyle name="Обычный 28 6 5" xfId="8793"/>
    <cellStyle name="Обычный 28 7" xfId="8794"/>
    <cellStyle name="Обычный 28 7 2" xfId="8795"/>
    <cellStyle name="Обычный 28 7 2 2" xfId="8796"/>
    <cellStyle name="Обычный 28 7 2 2 2" xfId="8797"/>
    <cellStyle name="Обычный 28 7 2 2 3" xfId="8798"/>
    <cellStyle name="Обычный 28 7 2 3" xfId="8799"/>
    <cellStyle name="Обычный 28 7 2 4" xfId="8800"/>
    <cellStyle name="Обычный 28 7 3" xfId="8801"/>
    <cellStyle name="Обычный 28 7 3 2" xfId="8802"/>
    <cellStyle name="Обычный 28 7 3 3" xfId="8803"/>
    <cellStyle name="Обычный 28 7 4" xfId="8804"/>
    <cellStyle name="Обычный 28 7 5" xfId="8805"/>
    <cellStyle name="Обычный 28 8" xfId="8806"/>
    <cellStyle name="Обычный 28 9" xfId="8807"/>
    <cellStyle name="Обычный 28 9 2" xfId="8808"/>
    <cellStyle name="Обычный 28 9 2 2" xfId="8809"/>
    <cellStyle name="Обычный 28 9 2 3" xfId="8810"/>
    <cellStyle name="Обычный 28 9 3" xfId="8811"/>
    <cellStyle name="Обычный 28 9 4" xfId="8812"/>
    <cellStyle name="Обычный 28_Расчет  30 млн_Технополис  Коренькова" xfId="8813"/>
    <cellStyle name="Обычный 29" xfId="8814"/>
    <cellStyle name="Обычный 29 10" xfId="8815"/>
    <cellStyle name="Обычный 29 11" xfId="8816"/>
    <cellStyle name="Обычный 29 2" xfId="8817"/>
    <cellStyle name="Обычный 29 2 2" xfId="8818"/>
    <cellStyle name="Обычный 29 2 2 2" xfId="8819"/>
    <cellStyle name="Обычный 29 2 2 2 2" xfId="8820"/>
    <cellStyle name="Обычный 29 2 2 2 3" xfId="8821"/>
    <cellStyle name="Обычный 29 2 2 3" xfId="8822"/>
    <cellStyle name="Обычный 29 2 2 4" xfId="8823"/>
    <cellStyle name="Обычный 29 2 3" xfId="8824"/>
    <cellStyle name="Обычный 29 2 3 2" xfId="8825"/>
    <cellStyle name="Обычный 29 2 3 3" xfId="8826"/>
    <cellStyle name="Обычный 29 2 4" xfId="8827"/>
    <cellStyle name="Обычный 29 2 5" xfId="8828"/>
    <cellStyle name="Обычный 29 3" xfId="8829"/>
    <cellStyle name="Обычный 29 3 2" xfId="8830"/>
    <cellStyle name="Обычный 29 3 2 2" xfId="8831"/>
    <cellStyle name="Обычный 29 3 2 2 2" xfId="8832"/>
    <cellStyle name="Обычный 29 3 2 2 3" xfId="8833"/>
    <cellStyle name="Обычный 29 3 2 3" xfId="8834"/>
    <cellStyle name="Обычный 29 3 2 4" xfId="8835"/>
    <cellStyle name="Обычный 29 3 3" xfId="8836"/>
    <cellStyle name="Обычный 29 3 3 2" xfId="8837"/>
    <cellStyle name="Обычный 29 3 3 3" xfId="8838"/>
    <cellStyle name="Обычный 29 3 4" xfId="8839"/>
    <cellStyle name="Обычный 29 3 5" xfId="8840"/>
    <cellStyle name="Обычный 29 4" xfId="8841"/>
    <cellStyle name="Обычный 29 4 2" xfId="8842"/>
    <cellStyle name="Обычный 29 4 2 2" xfId="8843"/>
    <cellStyle name="Обычный 29 4 2 2 2" xfId="8844"/>
    <cellStyle name="Обычный 29 4 2 2 3" xfId="8845"/>
    <cellStyle name="Обычный 29 4 2 3" xfId="8846"/>
    <cellStyle name="Обычный 29 4 2 4" xfId="8847"/>
    <cellStyle name="Обычный 29 4 3" xfId="8848"/>
    <cellStyle name="Обычный 29 4 3 2" xfId="8849"/>
    <cellStyle name="Обычный 29 4 3 3" xfId="8850"/>
    <cellStyle name="Обычный 29 4 4" xfId="8851"/>
    <cellStyle name="Обычный 29 4 5" xfId="8852"/>
    <cellStyle name="Обычный 29 5" xfId="8853"/>
    <cellStyle name="Обычный 29 5 2" xfId="8854"/>
    <cellStyle name="Обычный 29 5 2 2" xfId="8855"/>
    <cellStyle name="Обычный 29 5 2 2 2" xfId="8856"/>
    <cellStyle name="Обычный 29 5 2 2 3" xfId="8857"/>
    <cellStyle name="Обычный 29 5 2 3" xfId="8858"/>
    <cellStyle name="Обычный 29 5 2 4" xfId="8859"/>
    <cellStyle name="Обычный 29 5 3" xfId="8860"/>
    <cellStyle name="Обычный 29 5 3 2" xfId="8861"/>
    <cellStyle name="Обычный 29 5 3 3" xfId="8862"/>
    <cellStyle name="Обычный 29 5 4" xfId="8863"/>
    <cellStyle name="Обычный 29 5 5" xfId="8864"/>
    <cellStyle name="Обычный 29 6" xfId="8865"/>
    <cellStyle name="Обычный 29 6 2" xfId="8866"/>
    <cellStyle name="Обычный 29 6 2 2" xfId="8867"/>
    <cellStyle name="Обычный 29 6 2 2 2" xfId="8868"/>
    <cellStyle name="Обычный 29 6 2 2 3" xfId="8869"/>
    <cellStyle name="Обычный 29 6 2 3" xfId="8870"/>
    <cellStyle name="Обычный 29 6 2 4" xfId="8871"/>
    <cellStyle name="Обычный 29 6 3" xfId="8872"/>
    <cellStyle name="Обычный 29 6 3 2" xfId="8873"/>
    <cellStyle name="Обычный 29 6 3 3" xfId="8874"/>
    <cellStyle name="Обычный 29 6 4" xfId="8875"/>
    <cellStyle name="Обычный 29 6 5" xfId="8876"/>
    <cellStyle name="Обычный 29 7" xfId="8877"/>
    <cellStyle name="Обычный 29 7 2" xfId="8878"/>
    <cellStyle name="Обычный 29 7 2 2" xfId="8879"/>
    <cellStyle name="Обычный 29 7 2 2 2" xfId="8880"/>
    <cellStyle name="Обычный 29 7 2 2 3" xfId="8881"/>
    <cellStyle name="Обычный 29 7 2 3" xfId="8882"/>
    <cellStyle name="Обычный 29 7 2 4" xfId="8883"/>
    <cellStyle name="Обычный 29 7 3" xfId="8884"/>
    <cellStyle name="Обычный 29 7 3 2" xfId="8885"/>
    <cellStyle name="Обычный 29 7 3 3" xfId="8886"/>
    <cellStyle name="Обычный 29 7 4" xfId="8887"/>
    <cellStyle name="Обычный 29 7 5" xfId="8888"/>
    <cellStyle name="Обычный 29 8" xfId="8889"/>
    <cellStyle name="Обычный 29 8 2" xfId="8890"/>
    <cellStyle name="Обычный 29 8 2 2" xfId="8891"/>
    <cellStyle name="Обычный 29 8 2 3" xfId="8892"/>
    <cellStyle name="Обычный 29 8 3" xfId="8893"/>
    <cellStyle name="Обычный 29 8 4" xfId="8894"/>
    <cellStyle name="Обычный 29 9" xfId="8895"/>
    <cellStyle name="Обычный 29 9 2" xfId="8896"/>
    <cellStyle name="Обычный 29 9 3" xfId="8897"/>
    <cellStyle name="Обычный 29_Расчет  30 млн_Технополис  Коренькова" xfId="8898"/>
    <cellStyle name="Обычный 3" xfId="5"/>
    <cellStyle name="Обычный 3 10" xfId="8899"/>
    <cellStyle name="Обычный 3 11" xfId="8900"/>
    <cellStyle name="Обычный 3 12" xfId="8901"/>
    <cellStyle name="Обычный 3 13" xfId="8902"/>
    <cellStyle name="Обычный 3 13 2" xfId="8903"/>
    <cellStyle name="Обычный 3 13 2 2" xfId="8904"/>
    <cellStyle name="Обычный 3 13 2 2 2" xfId="8905"/>
    <cellStyle name="Обычный 3 13 2 2 2 2" xfId="8906"/>
    <cellStyle name="Обычный 3 13 2 2 2 3" xfId="8907"/>
    <cellStyle name="Обычный 3 13 2 2 3" xfId="8908"/>
    <cellStyle name="Обычный 3 13 2 2 4" xfId="8909"/>
    <cellStyle name="Обычный 3 13 2 3" xfId="8910"/>
    <cellStyle name="Обычный 3 13 2 3 2" xfId="8911"/>
    <cellStyle name="Обычный 3 13 2 3 3" xfId="8912"/>
    <cellStyle name="Обычный 3 13 2 4" xfId="8913"/>
    <cellStyle name="Обычный 3 13 2 5" xfId="8914"/>
    <cellStyle name="Обычный 3 13 3" xfId="8915"/>
    <cellStyle name="Обычный 3 13 3 2" xfId="8916"/>
    <cellStyle name="Обычный 3 13 3 2 2" xfId="8917"/>
    <cellStyle name="Обычный 3 13 3 2 3" xfId="8918"/>
    <cellStyle name="Обычный 3 13 3 3" xfId="8919"/>
    <cellStyle name="Обычный 3 13 3 4" xfId="8920"/>
    <cellStyle name="Обычный 3 13 4" xfId="8921"/>
    <cellStyle name="Обычный 3 13 4 2" xfId="8922"/>
    <cellStyle name="Обычный 3 13 4 3" xfId="8923"/>
    <cellStyle name="Обычный 3 13 5" xfId="8924"/>
    <cellStyle name="Обычный 3 13 6" xfId="8925"/>
    <cellStyle name="Обычный 3 13_Расчет  30 млн_Технополис  Коренькова" xfId="8926"/>
    <cellStyle name="Обычный 3 14" xfId="8927"/>
    <cellStyle name="Обычный 3 14 2" xfId="8928"/>
    <cellStyle name="Обычный 3 14 2 2" xfId="8929"/>
    <cellStyle name="Обычный 3 14 2 2 2" xfId="8930"/>
    <cellStyle name="Обычный 3 14 2 2 2 2" xfId="8931"/>
    <cellStyle name="Обычный 3 14 2 2 2 3" xfId="8932"/>
    <cellStyle name="Обычный 3 14 2 2 3" xfId="8933"/>
    <cellStyle name="Обычный 3 14 2 2 4" xfId="8934"/>
    <cellStyle name="Обычный 3 14 2 3" xfId="8935"/>
    <cellStyle name="Обычный 3 14 2 3 2" xfId="8936"/>
    <cellStyle name="Обычный 3 14 2 3 3" xfId="8937"/>
    <cellStyle name="Обычный 3 14 2 4" xfId="8938"/>
    <cellStyle name="Обычный 3 14 2 5" xfId="8939"/>
    <cellStyle name="Обычный 3 14 3" xfId="8940"/>
    <cellStyle name="Обычный 3 14 3 2" xfId="8941"/>
    <cellStyle name="Обычный 3 14 3 2 2" xfId="8942"/>
    <cellStyle name="Обычный 3 14 3 2 3" xfId="8943"/>
    <cellStyle name="Обычный 3 14 3 3" xfId="8944"/>
    <cellStyle name="Обычный 3 14 3 4" xfId="8945"/>
    <cellStyle name="Обычный 3 14 4" xfId="8946"/>
    <cellStyle name="Обычный 3 14 4 2" xfId="8947"/>
    <cellStyle name="Обычный 3 14 4 3" xfId="8948"/>
    <cellStyle name="Обычный 3 14 5" xfId="8949"/>
    <cellStyle name="Обычный 3 14 6" xfId="8950"/>
    <cellStyle name="Обычный 3 14_Расчет  30 млн_Технополис  Коренькова" xfId="8951"/>
    <cellStyle name="Обычный 3 15" xfId="8952"/>
    <cellStyle name="Обычный 3 16" xfId="8953"/>
    <cellStyle name="Обычный 3 16 2" xfId="8954"/>
    <cellStyle name="Обычный 3 16 2 2" xfId="8955"/>
    <cellStyle name="Обычный 3 16 2 2 2" xfId="8956"/>
    <cellStyle name="Обычный 3 16 2 2 3" xfId="8957"/>
    <cellStyle name="Обычный 3 16 2 3" xfId="8958"/>
    <cellStyle name="Обычный 3 16 2 4" xfId="8959"/>
    <cellStyle name="Обычный 3 16 3" xfId="8960"/>
    <cellStyle name="Обычный 3 16 3 2" xfId="8961"/>
    <cellStyle name="Обычный 3 16 3 3" xfId="8962"/>
    <cellStyle name="Обычный 3 16 4" xfId="8963"/>
    <cellStyle name="Обычный 3 16 5" xfId="8964"/>
    <cellStyle name="Обычный 3 17" xfId="8965"/>
    <cellStyle name="Обычный 3 17 2" xfId="8966"/>
    <cellStyle name="Обычный 3 18" xfId="8967"/>
    <cellStyle name="Обычный 3 19" xfId="8968"/>
    <cellStyle name="Обычный 3 19 2" xfId="8969"/>
    <cellStyle name="Обычный 3 2" xfId="8970"/>
    <cellStyle name="Обычный 3 2 10" xfId="8971"/>
    <cellStyle name="Обычный 3 2 2" xfId="8972"/>
    <cellStyle name="Обычный 3 2 2 2" xfId="8973"/>
    <cellStyle name="Обычный 3 2 2 3" xfId="8974"/>
    <cellStyle name="Обычный 3 2 3" xfId="8975"/>
    <cellStyle name="Обычный 3 2 3 2" xfId="8976"/>
    <cellStyle name="Обычный 3 2 3 3" xfId="8977"/>
    <cellStyle name="Обычный 3 2 4" xfId="8978"/>
    <cellStyle name="Обычный 3 2 40" xfId="8979"/>
    <cellStyle name="Обычный 3 2 5" xfId="8980"/>
    <cellStyle name="Обычный 3 2 6" xfId="8981"/>
    <cellStyle name="Обычный 3 2 7" xfId="8982"/>
    <cellStyle name="Обычный 3 2 8" xfId="8983"/>
    <cellStyle name="Обычный 3 2 9" xfId="8984"/>
    <cellStyle name="Обычный 3 2_Доп Калькуляции кровля 2013год" xfId="8985"/>
    <cellStyle name="Обычный 3 20" xfId="14"/>
    <cellStyle name="Обычный 3 21" xfId="19975"/>
    <cellStyle name="Обычный 3 3" xfId="8986"/>
    <cellStyle name="Обычный 3 3 2" xfId="8987"/>
    <cellStyle name="Обычный 3 4" xfId="8988"/>
    <cellStyle name="Обычный 3 5" xfId="8989"/>
    <cellStyle name="Обычный 3 6" xfId="8990"/>
    <cellStyle name="Обычный 3 7" xfId="8991"/>
    <cellStyle name="Обычный 3 7 2" xfId="8992"/>
    <cellStyle name="Обычный 3 7 3" xfId="8993"/>
    <cellStyle name="Обычный 3 8" xfId="8994"/>
    <cellStyle name="Обычный 3 9" xfId="8995"/>
    <cellStyle name="Обычный 3_2_34 чист отделка" xfId="8996"/>
    <cellStyle name="Обычный 30" xfId="8997"/>
    <cellStyle name="Обычный 30 10" xfId="8998"/>
    <cellStyle name="Обычный 30 11" xfId="8999"/>
    <cellStyle name="Обычный 30 2" xfId="9000"/>
    <cellStyle name="Обычный 30 2 2" xfId="9001"/>
    <cellStyle name="Обычный 30 2 2 2" xfId="9002"/>
    <cellStyle name="Обычный 30 2 2 2 2" xfId="9003"/>
    <cellStyle name="Обычный 30 2 2 2 3" xfId="9004"/>
    <cellStyle name="Обычный 30 2 2 3" xfId="9005"/>
    <cellStyle name="Обычный 30 2 2 4" xfId="9006"/>
    <cellStyle name="Обычный 30 2 3" xfId="9007"/>
    <cellStyle name="Обычный 30 2 3 2" xfId="9008"/>
    <cellStyle name="Обычный 30 2 3 3" xfId="9009"/>
    <cellStyle name="Обычный 30 2 4" xfId="9010"/>
    <cellStyle name="Обычный 30 2 5" xfId="9011"/>
    <cellStyle name="Обычный 30 3" xfId="9012"/>
    <cellStyle name="Обычный 30 3 2" xfId="9013"/>
    <cellStyle name="Обычный 30 3 2 2" xfId="9014"/>
    <cellStyle name="Обычный 30 3 2 2 2" xfId="9015"/>
    <cellStyle name="Обычный 30 3 2 2 3" xfId="9016"/>
    <cellStyle name="Обычный 30 3 2 3" xfId="9017"/>
    <cellStyle name="Обычный 30 3 2 4" xfId="9018"/>
    <cellStyle name="Обычный 30 3 3" xfId="9019"/>
    <cellStyle name="Обычный 30 3 3 2" xfId="9020"/>
    <cellStyle name="Обычный 30 3 3 3" xfId="9021"/>
    <cellStyle name="Обычный 30 3 4" xfId="9022"/>
    <cellStyle name="Обычный 30 3 5" xfId="9023"/>
    <cellStyle name="Обычный 30 4" xfId="9024"/>
    <cellStyle name="Обычный 30 4 2" xfId="9025"/>
    <cellStyle name="Обычный 30 4 2 2" xfId="9026"/>
    <cellStyle name="Обычный 30 4 2 2 2" xfId="9027"/>
    <cellStyle name="Обычный 30 4 2 2 3" xfId="9028"/>
    <cellStyle name="Обычный 30 4 2 3" xfId="9029"/>
    <cellStyle name="Обычный 30 4 2 4" xfId="9030"/>
    <cellStyle name="Обычный 30 4 3" xfId="9031"/>
    <cellStyle name="Обычный 30 4 3 2" xfId="9032"/>
    <cellStyle name="Обычный 30 4 3 3" xfId="9033"/>
    <cellStyle name="Обычный 30 4 4" xfId="9034"/>
    <cellStyle name="Обычный 30 4 5" xfId="9035"/>
    <cellStyle name="Обычный 30 5" xfId="9036"/>
    <cellStyle name="Обычный 30 5 2" xfId="9037"/>
    <cellStyle name="Обычный 30 5 2 2" xfId="9038"/>
    <cellStyle name="Обычный 30 5 2 2 2" xfId="9039"/>
    <cellStyle name="Обычный 30 5 2 2 3" xfId="9040"/>
    <cellStyle name="Обычный 30 5 2 3" xfId="9041"/>
    <cellStyle name="Обычный 30 5 2 4" xfId="9042"/>
    <cellStyle name="Обычный 30 5 3" xfId="9043"/>
    <cellStyle name="Обычный 30 5 3 2" xfId="9044"/>
    <cellStyle name="Обычный 30 5 3 3" xfId="9045"/>
    <cellStyle name="Обычный 30 5 4" xfId="9046"/>
    <cellStyle name="Обычный 30 5 5" xfId="9047"/>
    <cellStyle name="Обычный 30 6" xfId="9048"/>
    <cellStyle name="Обычный 30 6 2" xfId="9049"/>
    <cellStyle name="Обычный 30 6 2 2" xfId="9050"/>
    <cellStyle name="Обычный 30 6 2 2 2" xfId="9051"/>
    <cellStyle name="Обычный 30 6 2 2 3" xfId="9052"/>
    <cellStyle name="Обычный 30 6 2 3" xfId="9053"/>
    <cellStyle name="Обычный 30 6 2 4" xfId="9054"/>
    <cellStyle name="Обычный 30 6 3" xfId="9055"/>
    <cellStyle name="Обычный 30 6 3 2" xfId="9056"/>
    <cellStyle name="Обычный 30 6 3 3" xfId="9057"/>
    <cellStyle name="Обычный 30 6 4" xfId="9058"/>
    <cellStyle name="Обычный 30 6 5" xfId="9059"/>
    <cellStyle name="Обычный 30 7" xfId="9060"/>
    <cellStyle name="Обычный 30 7 2" xfId="9061"/>
    <cellStyle name="Обычный 30 7 2 2" xfId="9062"/>
    <cellStyle name="Обычный 30 7 2 3" xfId="9063"/>
    <cellStyle name="Обычный 30 7 3" xfId="9064"/>
    <cellStyle name="Обычный 30 7 4" xfId="9065"/>
    <cellStyle name="Обычный 30 8" xfId="9066"/>
    <cellStyle name="Обычный 30 8 2" xfId="9067"/>
    <cellStyle name="Обычный 30 8 2 2" xfId="9068"/>
    <cellStyle name="Обычный 30 8 2 3" xfId="9069"/>
    <cellStyle name="Обычный 30 8 3" xfId="9070"/>
    <cellStyle name="Обычный 30 8 4" xfId="9071"/>
    <cellStyle name="Обычный 30 9" xfId="9072"/>
    <cellStyle name="Обычный 30 9 2" xfId="9073"/>
    <cellStyle name="Обычный 30 9 3" xfId="9074"/>
    <cellStyle name="Обычный 30_Расчет  30 млн_Технополис  Коренькова" xfId="9075"/>
    <cellStyle name="Обычный 31" xfId="9076"/>
    <cellStyle name="Обычный 31 2" xfId="9077"/>
    <cellStyle name="Обычный 31 2 2" xfId="9078"/>
    <cellStyle name="Обычный 31 2 2 2" xfId="9079"/>
    <cellStyle name="Обычный 31 2 2 2 2" xfId="9080"/>
    <cellStyle name="Обычный 31 2 2 2 3" xfId="9081"/>
    <cellStyle name="Обычный 31 2 2 3" xfId="9082"/>
    <cellStyle name="Обычный 31 2 2 4" xfId="9083"/>
    <cellStyle name="Обычный 31 2 3" xfId="9084"/>
    <cellStyle name="Обычный 31 2 3 2" xfId="9085"/>
    <cellStyle name="Обычный 31 2 3 3" xfId="9086"/>
    <cellStyle name="Обычный 31 2 4" xfId="9087"/>
    <cellStyle name="Обычный 31 2 5" xfId="9088"/>
    <cellStyle name="Обычный 31 3" xfId="9089"/>
    <cellStyle name="Обычный 31 4" xfId="9090"/>
    <cellStyle name="Обычный 31 4 2" xfId="9091"/>
    <cellStyle name="Обычный 31 4 2 2" xfId="9092"/>
    <cellStyle name="Обычный 31 4 2 2 2" xfId="9093"/>
    <cellStyle name="Обычный 31 4 2 2 3" xfId="9094"/>
    <cellStyle name="Обычный 31 4 2 3" xfId="9095"/>
    <cellStyle name="Обычный 31 4 2 4" xfId="9096"/>
    <cellStyle name="Обычный 31 4 3" xfId="9097"/>
    <cellStyle name="Обычный 31 4 3 2" xfId="9098"/>
    <cellStyle name="Обычный 31 4 3 3" xfId="9099"/>
    <cellStyle name="Обычный 31 4 4" xfId="9100"/>
    <cellStyle name="Обычный 31 4 5" xfId="9101"/>
    <cellStyle name="Обычный 31 5" xfId="9102"/>
    <cellStyle name="Обычный 31 6" xfId="9103"/>
    <cellStyle name="Обычный 31 6 2" xfId="9104"/>
    <cellStyle name="Обычный 31 6 2 2" xfId="9105"/>
    <cellStyle name="Обычный 31 6 2 3" xfId="9106"/>
    <cellStyle name="Обычный 31 6 3" xfId="9107"/>
    <cellStyle name="Обычный 31 6 4" xfId="9108"/>
    <cellStyle name="Обычный 31 7" xfId="9109"/>
    <cellStyle name="Обычный 31 7 2" xfId="9110"/>
    <cellStyle name="Обычный 31 7 3" xfId="9111"/>
    <cellStyle name="Обычный 32" xfId="9112"/>
    <cellStyle name="Обычный 32 10" xfId="9113"/>
    <cellStyle name="Обычный 32 2" xfId="9114"/>
    <cellStyle name="Обычный 32 2 2" xfId="9115"/>
    <cellStyle name="Обычный 32 2 2 2" xfId="9116"/>
    <cellStyle name="Обычный 32 2 2 2 2" xfId="9117"/>
    <cellStyle name="Обычный 32 2 2 2 2 2" xfId="9118"/>
    <cellStyle name="Обычный 32 2 2 2 2 3" xfId="9119"/>
    <cellStyle name="Обычный 32 2 2 2 3" xfId="9120"/>
    <cellStyle name="Обычный 32 2 2 2 4" xfId="9121"/>
    <cellStyle name="Обычный 32 2 2 3" xfId="9122"/>
    <cellStyle name="Обычный 32 2 2 3 2" xfId="9123"/>
    <cellStyle name="Обычный 32 2 2 3 3" xfId="9124"/>
    <cellStyle name="Обычный 32 2 2 4" xfId="9125"/>
    <cellStyle name="Обычный 32 2 2 5" xfId="9126"/>
    <cellStyle name="Обычный 32 2 3" xfId="9127"/>
    <cellStyle name="Обычный 32 2 3 2" xfId="9128"/>
    <cellStyle name="Обычный 32 2 3 2 2" xfId="9129"/>
    <cellStyle name="Обычный 32 2 3 2 2 2" xfId="9130"/>
    <cellStyle name="Обычный 32 2 3 2 2 3" xfId="9131"/>
    <cellStyle name="Обычный 32 2 3 2 3" xfId="9132"/>
    <cellStyle name="Обычный 32 2 3 2 4" xfId="9133"/>
    <cellStyle name="Обычный 32 2 3 3" xfId="9134"/>
    <cellStyle name="Обычный 32 2 3 3 2" xfId="9135"/>
    <cellStyle name="Обычный 32 2 3 3 3" xfId="9136"/>
    <cellStyle name="Обычный 32 2 3 4" xfId="9137"/>
    <cellStyle name="Обычный 32 2 3 5" xfId="9138"/>
    <cellStyle name="Обычный 32 2 4" xfId="9139"/>
    <cellStyle name="Обычный 32 2 4 2" xfId="9140"/>
    <cellStyle name="Обычный 32 2 4 2 2" xfId="9141"/>
    <cellStyle name="Обычный 32 2 4 2 3" xfId="9142"/>
    <cellStyle name="Обычный 32 2 4 3" xfId="9143"/>
    <cellStyle name="Обычный 32 2 4 4" xfId="9144"/>
    <cellStyle name="Обычный 32 2 5" xfId="9145"/>
    <cellStyle name="Обычный 32 2 5 2" xfId="9146"/>
    <cellStyle name="Обычный 32 2 5 3" xfId="9147"/>
    <cellStyle name="Обычный 32 2 6" xfId="9148"/>
    <cellStyle name="Обычный 32 2 7" xfId="9149"/>
    <cellStyle name="Обычный 32 2_Расчет  30 млн_Технополис  Коренькова" xfId="9150"/>
    <cellStyle name="Обычный 32 3" xfId="9151"/>
    <cellStyle name="Обычный 32 3 2" xfId="9152"/>
    <cellStyle name="Обычный 32 3 2 2" xfId="9153"/>
    <cellStyle name="Обычный 32 3 2 2 2" xfId="9154"/>
    <cellStyle name="Обычный 32 3 2 2 2 2" xfId="9155"/>
    <cellStyle name="Обычный 32 3 2 2 2 3" xfId="9156"/>
    <cellStyle name="Обычный 32 3 2 2 3" xfId="9157"/>
    <cellStyle name="Обычный 32 3 2 2 4" xfId="9158"/>
    <cellStyle name="Обычный 32 3 2 3" xfId="9159"/>
    <cellStyle name="Обычный 32 3 2 3 2" xfId="9160"/>
    <cellStyle name="Обычный 32 3 2 3 3" xfId="9161"/>
    <cellStyle name="Обычный 32 3 2 4" xfId="9162"/>
    <cellStyle name="Обычный 32 3 2 5" xfId="9163"/>
    <cellStyle name="Обычный 32 3 3" xfId="9164"/>
    <cellStyle name="Обычный 32 3 3 2" xfId="9165"/>
    <cellStyle name="Обычный 32 3 3 2 2" xfId="9166"/>
    <cellStyle name="Обычный 32 3 3 2 3" xfId="9167"/>
    <cellStyle name="Обычный 32 3 3 3" xfId="9168"/>
    <cellStyle name="Обычный 32 3 3 4" xfId="9169"/>
    <cellStyle name="Обычный 32 3 4" xfId="9170"/>
    <cellStyle name="Обычный 32 3 4 2" xfId="9171"/>
    <cellStyle name="Обычный 32 3 4 3" xfId="9172"/>
    <cellStyle name="Обычный 32 3 5" xfId="9173"/>
    <cellStyle name="Обычный 32 3 6" xfId="9174"/>
    <cellStyle name="Обычный 32 3_Расчет  30 млн_Технополис  Коренькова" xfId="9175"/>
    <cellStyle name="Обычный 32 4" xfId="9176"/>
    <cellStyle name="Обычный 32 4 2" xfId="9177"/>
    <cellStyle name="Обычный 32 4 2 2" xfId="9178"/>
    <cellStyle name="Обычный 32 4 2 2 2" xfId="9179"/>
    <cellStyle name="Обычный 32 4 2 2 3" xfId="9180"/>
    <cellStyle name="Обычный 32 4 2 3" xfId="9181"/>
    <cellStyle name="Обычный 32 4 2 4" xfId="9182"/>
    <cellStyle name="Обычный 32 4 3" xfId="9183"/>
    <cellStyle name="Обычный 32 4 3 2" xfId="9184"/>
    <cellStyle name="Обычный 32 4 3 3" xfId="9185"/>
    <cellStyle name="Обычный 32 4 4" xfId="9186"/>
    <cellStyle name="Обычный 32 4 5" xfId="9187"/>
    <cellStyle name="Обычный 32 5" xfId="9188"/>
    <cellStyle name="Обычный 32 5 2" xfId="9189"/>
    <cellStyle name="Обычный 32 5 2 2" xfId="9190"/>
    <cellStyle name="Обычный 32 5 2 2 2" xfId="9191"/>
    <cellStyle name="Обычный 32 5 2 2 3" xfId="9192"/>
    <cellStyle name="Обычный 32 5 2 3" xfId="9193"/>
    <cellStyle name="Обычный 32 5 2 4" xfId="9194"/>
    <cellStyle name="Обычный 32 5 3" xfId="9195"/>
    <cellStyle name="Обычный 32 5 3 2" xfId="9196"/>
    <cellStyle name="Обычный 32 5 3 3" xfId="9197"/>
    <cellStyle name="Обычный 32 5 4" xfId="9198"/>
    <cellStyle name="Обычный 32 6" xfId="9199"/>
    <cellStyle name="Обычный 32 6 2" xfId="9200"/>
    <cellStyle name="Обычный 32 6 2 2" xfId="9201"/>
    <cellStyle name="Обычный 32 6 2 2 2" xfId="9202"/>
    <cellStyle name="Обычный 32 6 2 2 3" xfId="9203"/>
    <cellStyle name="Обычный 32 6 2 3" xfId="9204"/>
    <cellStyle name="Обычный 32 6 2 4" xfId="9205"/>
    <cellStyle name="Обычный 32 6 3" xfId="9206"/>
    <cellStyle name="Обычный 32 6 3 2" xfId="9207"/>
    <cellStyle name="Обычный 32 6 3 3" xfId="9208"/>
    <cellStyle name="Обычный 32 6 4" xfId="9209"/>
    <cellStyle name="Обычный 32 6 5" xfId="9210"/>
    <cellStyle name="Обычный 32 7" xfId="9211"/>
    <cellStyle name="Обычный 32 7 2" xfId="9212"/>
    <cellStyle name="Обычный 32 7 2 2" xfId="9213"/>
    <cellStyle name="Обычный 32 7 2 2 2" xfId="9214"/>
    <cellStyle name="Обычный 32 7 2 2 3" xfId="9215"/>
    <cellStyle name="Обычный 32 7 2 3" xfId="9216"/>
    <cellStyle name="Обычный 32 7 2 4" xfId="9217"/>
    <cellStyle name="Обычный 32 7 3" xfId="9218"/>
    <cellStyle name="Обычный 32 7 3 2" xfId="9219"/>
    <cellStyle name="Обычный 32 7 3 3" xfId="9220"/>
    <cellStyle name="Обычный 32 7 4" xfId="9221"/>
    <cellStyle name="Обычный 32 7 5" xfId="9222"/>
    <cellStyle name="Обычный 32 8" xfId="9223"/>
    <cellStyle name="Обычный 32 8 2" xfId="9224"/>
    <cellStyle name="Обычный 32 8 2 2" xfId="9225"/>
    <cellStyle name="Обычный 32 8 2 3" xfId="9226"/>
    <cellStyle name="Обычный 32 8 3" xfId="9227"/>
    <cellStyle name="Обычный 32 8 4" xfId="9228"/>
    <cellStyle name="Обычный 32 9" xfId="9229"/>
    <cellStyle name="Обычный 32 9 2" xfId="9230"/>
    <cellStyle name="Обычный 32 9 3" xfId="9231"/>
    <cellStyle name="Обычный 33" xfId="9232"/>
    <cellStyle name="Обычный 33 2" xfId="9233"/>
    <cellStyle name="Обычный 33 2 2" xfId="9234"/>
    <cellStyle name="Обычный 33 2 2 2" xfId="9235"/>
    <cellStyle name="Обычный 33 2 2 2 2" xfId="9236"/>
    <cellStyle name="Обычный 33 2 2 2 3" xfId="9237"/>
    <cellStyle name="Обычный 33 2 2 3" xfId="9238"/>
    <cellStyle name="Обычный 33 2 2 4" xfId="9239"/>
    <cellStyle name="Обычный 33 2 3" xfId="9240"/>
    <cellStyle name="Обычный 33 2 3 2" xfId="9241"/>
    <cellStyle name="Обычный 33 2 3 3" xfId="9242"/>
    <cellStyle name="Обычный 33 2 4" xfId="9243"/>
    <cellStyle name="Обычный 33 2 5" xfId="9244"/>
    <cellStyle name="Обычный 33 3" xfId="9245"/>
    <cellStyle name="Обычный 33 3 2" xfId="9246"/>
    <cellStyle name="Обычный 33 3 2 2" xfId="9247"/>
    <cellStyle name="Обычный 33 3 2 2 2" xfId="9248"/>
    <cellStyle name="Обычный 33 3 2 2 3" xfId="9249"/>
    <cellStyle name="Обычный 33 3 2 3" xfId="9250"/>
    <cellStyle name="Обычный 33 3 2 4" xfId="9251"/>
    <cellStyle name="Обычный 33 3 3" xfId="9252"/>
    <cellStyle name="Обычный 33 3 3 2" xfId="9253"/>
    <cellStyle name="Обычный 33 3 3 3" xfId="9254"/>
    <cellStyle name="Обычный 33 3 4" xfId="9255"/>
    <cellStyle name="Обычный 33 3 5" xfId="9256"/>
    <cellStyle name="Обычный 33 4" xfId="9257"/>
    <cellStyle name="Обычный 33 4 2" xfId="9258"/>
    <cellStyle name="Обычный 33 4 2 2" xfId="9259"/>
    <cellStyle name="Обычный 33 4 2 3" xfId="9260"/>
    <cellStyle name="Обычный 33 4 3" xfId="9261"/>
    <cellStyle name="Обычный 33 4 4" xfId="9262"/>
    <cellStyle name="Обычный 33 5" xfId="9263"/>
    <cellStyle name="Обычный 33 5 2" xfId="9264"/>
    <cellStyle name="Обычный 33 5 3" xfId="9265"/>
    <cellStyle name="Обычный 33 6" xfId="9266"/>
    <cellStyle name="Обычный 33 7" xfId="9267"/>
    <cellStyle name="Обычный 33_Расчет  30 млн_Технополис  Коренькова" xfId="9268"/>
    <cellStyle name="Обычный 34" xfId="9269"/>
    <cellStyle name="Обычный 34 2" xfId="9270"/>
    <cellStyle name="Обычный 34 2 2" xfId="9271"/>
    <cellStyle name="Обычный 34 2 2 2" xfId="9272"/>
    <cellStyle name="Обычный 34 2 2 2 2" xfId="9273"/>
    <cellStyle name="Обычный 34 2 2 2 3" xfId="9274"/>
    <cellStyle name="Обычный 34 2 2 3" xfId="9275"/>
    <cellStyle name="Обычный 34 2 2 4" xfId="9276"/>
    <cellStyle name="Обычный 34 2 3" xfId="9277"/>
    <cellStyle name="Обычный 34 2 3 2" xfId="9278"/>
    <cellStyle name="Обычный 34 2 3 3" xfId="9279"/>
    <cellStyle name="Обычный 34 2 4" xfId="9280"/>
    <cellStyle name="Обычный 34 2 5" xfId="9281"/>
    <cellStyle name="Обычный 34 3" xfId="9282"/>
    <cellStyle name="Обычный 34 4" xfId="9283"/>
    <cellStyle name="Обычный 34_Расчет  30 млн_Технополис  Коренькова" xfId="9284"/>
    <cellStyle name="Обычный 35" xfId="9285"/>
    <cellStyle name="Обычный 35 2" xfId="9286"/>
    <cellStyle name="Обычный 35 3" xfId="9287"/>
    <cellStyle name="Обычный 35 3 2" xfId="9288"/>
    <cellStyle name="Обычный 35 3 2 2" xfId="9289"/>
    <cellStyle name="Обычный 35 3 2 3" xfId="9290"/>
    <cellStyle name="Обычный 35 3 3" xfId="9291"/>
    <cellStyle name="Обычный 35 3 4" xfId="9292"/>
    <cellStyle name="Обычный 35 4" xfId="9293"/>
    <cellStyle name="Обычный 35 4 2" xfId="9294"/>
    <cellStyle name="Обычный 35 4 3" xfId="9295"/>
    <cellStyle name="Обычный 35 5" xfId="9296"/>
    <cellStyle name="Обычный 35 6" xfId="9297"/>
    <cellStyle name="Обычный 35_Расчет  30 млн_Технополис  Коренькова" xfId="9298"/>
    <cellStyle name="Обычный 36" xfId="9299"/>
    <cellStyle name="Обычный 36 2" xfId="9300"/>
    <cellStyle name="Обычный 36 3" xfId="9301"/>
    <cellStyle name="Обычный 36 4" xfId="9302"/>
    <cellStyle name="Обычный 36 5" xfId="9303"/>
    <cellStyle name="Обычный 37" xfId="9304"/>
    <cellStyle name="Обычный 37 2" xfId="9305"/>
    <cellStyle name="Обычный 37 2 2" xfId="9306"/>
    <cellStyle name="Обычный 37 2 2 2" xfId="9307"/>
    <cellStyle name="Обычный 37 2 2 2 2" xfId="9308"/>
    <cellStyle name="Обычный 37 2 2 2 3" xfId="9309"/>
    <cellStyle name="Обычный 37 2 2 3" xfId="9310"/>
    <cellStyle name="Обычный 37 2 2 4" xfId="9311"/>
    <cellStyle name="Обычный 37 2 3" xfId="9312"/>
    <cellStyle name="Обычный 37 2 3 2" xfId="9313"/>
    <cellStyle name="Обычный 37 2 3 3" xfId="9314"/>
    <cellStyle name="Обычный 37 2 4" xfId="9315"/>
    <cellStyle name="Обычный 37 2 5" xfId="9316"/>
    <cellStyle name="Обычный 37 3" xfId="9317"/>
    <cellStyle name="Обычный 37 3 2" xfId="9318"/>
    <cellStyle name="Обычный 37 3 2 2" xfId="9319"/>
    <cellStyle name="Обычный 37 3 2 3" xfId="9320"/>
    <cellStyle name="Обычный 37 3 3" xfId="9321"/>
    <cellStyle name="Обычный 37 3 4" xfId="9322"/>
    <cellStyle name="Обычный 37 4" xfId="9323"/>
    <cellStyle name="Обычный 37 4 2" xfId="9324"/>
    <cellStyle name="Обычный 37 4 2 2" xfId="9325"/>
    <cellStyle name="Обычный 37 4 2 3" xfId="9326"/>
    <cellStyle name="Обычный 37 4 3" xfId="9327"/>
    <cellStyle name="Обычный 37 4 4" xfId="9328"/>
    <cellStyle name="Обычный 37 5" xfId="9329"/>
    <cellStyle name="Обычный 37 5 2" xfId="9330"/>
    <cellStyle name="Обычный 37 5 3" xfId="9331"/>
    <cellStyle name="Обычный 37 6" xfId="9332"/>
    <cellStyle name="Обычный 37 7" xfId="9333"/>
    <cellStyle name="Обычный 37_Расчет  30 млн_Технополис  Коренькова" xfId="9334"/>
    <cellStyle name="Обычный 38" xfId="9335"/>
    <cellStyle name="Обычный 38 2" xfId="9336"/>
    <cellStyle name="Обычный 38 2 2" xfId="9337"/>
    <cellStyle name="Обычный 38 2 2 2" xfId="9338"/>
    <cellStyle name="Обычный 38 2 2 3" xfId="9339"/>
    <cellStyle name="Обычный 38 2 3" xfId="9340"/>
    <cellStyle name="Обычный 38 2 4" xfId="9341"/>
    <cellStyle name="Обычный 38 3" xfId="9342"/>
    <cellStyle name="Обычный 38 3 2" xfId="9343"/>
    <cellStyle name="Обычный 38 3 3" xfId="9344"/>
    <cellStyle name="Обычный 38 4" xfId="9345"/>
    <cellStyle name="Обычный 38 5" xfId="9346"/>
    <cellStyle name="Обычный 39" xfId="9347"/>
    <cellStyle name="Обычный 39 2" xfId="9348"/>
    <cellStyle name="Обычный 39 2 2" xfId="9349"/>
    <cellStyle name="Обычный 39 2 2 2" xfId="9350"/>
    <cellStyle name="Обычный 39 2 2 2 2" xfId="9351"/>
    <cellStyle name="Обычный 39 2 2 2 3" xfId="9352"/>
    <cellStyle name="Обычный 39 2 2 3" xfId="9353"/>
    <cellStyle name="Обычный 39 2 2 4" xfId="9354"/>
    <cellStyle name="Обычный 39 2 3" xfId="9355"/>
    <cellStyle name="Обычный 39 2 3 2" xfId="9356"/>
    <cellStyle name="Обычный 39 2 3 3" xfId="9357"/>
    <cellStyle name="Обычный 39 2 4" xfId="9358"/>
    <cellStyle name="Обычный 39 2 5" xfId="9359"/>
    <cellStyle name="Обычный 39 3" xfId="9360"/>
    <cellStyle name="Обычный 39 3 2" xfId="9361"/>
    <cellStyle name="Обычный 39 3 2 2" xfId="9362"/>
    <cellStyle name="Обычный 39 3 2 3" xfId="9363"/>
    <cellStyle name="Обычный 39 3 3" xfId="9364"/>
    <cellStyle name="Обычный 39 3 4" xfId="9365"/>
    <cellStyle name="Обычный 39 4" xfId="9366"/>
    <cellStyle name="Обычный 39 4 2" xfId="9367"/>
    <cellStyle name="Обычный 39 4 3" xfId="9368"/>
    <cellStyle name="Обычный 39 5" xfId="9369"/>
    <cellStyle name="Обычный 39 6" xfId="9370"/>
    <cellStyle name="Обычный 39_Расчет  30 млн_Технополис  Коренькова" xfId="9371"/>
    <cellStyle name="Обычный 4" xfId="9372"/>
    <cellStyle name="Обычный 4 10" xfId="9373"/>
    <cellStyle name="Обычный 4 11" xfId="9374"/>
    <cellStyle name="Обычный 4 12" xfId="9375"/>
    <cellStyle name="Обычный 4 13" xfId="9376"/>
    <cellStyle name="Обычный 4 14" xfId="9377"/>
    <cellStyle name="Обычный 4 15" xfId="9378"/>
    <cellStyle name="Обычный 4 16" xfId="9379"/>
    <cellStyle name="Обычный 4 2" xfId="9380"/>
    <cellStyle name="Обычный 4 2 10" xfId="9381"/>
    <cellStyle name="Обычный 4 2 10 2" xfId="9382"/>
    <cellStyle name="Обычный 4 2 10 2 2" xfId="9383"/>
    <cellStyle name="Обычный 4 2 10 2 2 2" xfId="9384"/>
    <cellStyle name="Обычный 4 2 10 2 2 3" xfId="9385"/>
    <cellStyle name="Обычный 4 2 10 2 3" xfId="9386"/>
    <cellStyle name="Обычный 4 2 10 2 4" xfId="9387"/>
    <cellStyle name="Обычный 4 2 10 3" xfId="9388"/>
    <cellStyle name="Обычный 4 2 10 3 2" xfId="9389"/>
    <cellStyle name="Обычный 4 2 10 3 3" xfId="9390"/>
    <cellStyle name="Обычный 4 2 10 4" xfId="9391"/>
    <cellStyle name="Обычный 4 2 10 5" xfId="9392"/>
    <cellStyle name="Обычный 4 2 10 6" xfId="9393"/>
    <cellStyle name="Обычный 4 2 11" xfId="9394"/>
    <cellStyle name="Обычный 4 2 11 2" xfId="9395"/>
    <cellStyle name="Обычный 4 2 11 2 2" xfId="9396"/>
    <cellStyle name="Обычный 4 2 11 2 2 2" xfId="9397"/>
    <cellStyle name="Обычный 4 2 11 2 2 3" xfId="9398"/>
    <cellStyle name="Обычный 4 2 11 2 3" xfId="9399"/>
    <cellStyle name="Обычный 4 2 11 2 4" xfId="9400"/>
    <cellStyle name="Обычный 4 2 11 3" xfId="9401"/>
    <cellStyle name="Обычный 4 2 11 3 2" xfId="9402"/>
    <cellStyle name="Обычный 4 2 11 3 3" xfId="9403"/>
    <cellStyle name="Обычный 4 2 11 4" xfId="9404"/>
    <cellStyle name="Обычный 4 2 11 5" xfId="9405"/>
    <cellStyle name="Обычный 4 2 12" xfId="9406"/>
    <cellStyle name="Обычный 4 2 12 2" xfId="9407"/>
    <cellStyle name="Обычный 4 2 12 2 2" xfId="9408"/>
    <cellStyle name="Обычный 4 2 12 2 2 2" xfId="9409"/>
    <cellStyle name="Обычный 4 2 12 2 2 3" xfId="9410"/>
    <cellStyle name="Обычный 4 2 12 2 3" xfId="9411"/>
    <cellStyle name="Обычный 4 2 12 2 4" xfId="9412"/>
    <cellStyle name="Обычный 4 2 12 3" xfId="9413"/>
    <cellStyle name="Обычный 4 2 12 3 2" xfId="9414"/>
    <cellStyle name="Обычный 4 2 12 3 3" xfId="9415"/>
    <cellStyle name="Обычный 4 2 12 4" xfId="9416"/>
    <cellStyle name="Обычный 4 2 12 5" xfId="9417"/>
    <cellStyle name="Обычный 4 2 13" xfId="9418"/>
    <cellStyle name="Обычный 4 2 13 2" xfId="9419"/>
    <cellStyle name="Обычный 4 2 13 2 2" xfId="9420"/>
    <cellStyle name="Обычный 4 2 13 2 2 2" xfId="9421"/>
    <cellStyle name="Обычный 4 2 13 2 2 3" xfId="9422"/>
    <cellStyle name="Обычный 4 2 13 2 3" xfId="9423"/>
    <cellStyle name="Обычный 4 2 13 2 4" xfId="9424"/>
    <cellStyle name="Обычный 4 2 13 3" xfId="9425"/>
    <cellStyle name="Обычный 4 2 13 3 2" xfId="9426"/>
    <cellStyle name="Обычный 4 2 13 3 3" xfId="9427"/>
    <cellStyle name="Обычный 4 2 13 4" xfId="9428"/>
    <cellStyle name="Обычный 4 2 13 5" xfId="9429"/>
    <cellStyle name="Обычный 4 2 14" xfId="9430"/>
    <cellStyle name="Обычный 4 2 14 2" xfId="9431"/>
    <cellStyle name="Обычный 4 2 14 2 2" xfId="9432"/>
    <cellStyle name="Обычный 4 2 14 2 2 2" xfId="9433"/>
    <cellStyle name="Обычный 4 2 14 2 2 3" xfId="9434"/>
    <cellStyle name="Обычный 4 2 14 2 3" xfId="9435"/>
    <cellStyle name="Обычный 4 2 14 2 4" xfId="9436"/>
    <cellStyle name="Обычный 4 2 14 3" xfId="9437"/>
    <cellStyle name="Обычный 4 2 14 3 2" xfId="9438"/>
    <cellStyle name="Обычный 4 2 14 3 3" xfId="9439"/>
    <cellStyle name="Обычный 4 2 14 4" xfId="9440"/>
    <cellStyle name="Обычный 4 2 14 5" xfId="9441"/>
    <cellStyle name="Обычный 4 2 15" xfId="9442"/>
    <cellStyle name="Обычный 4 2 15 2" xfId="9443"/>
    <cellStyle name="Обычный 4 2 15 2 2" xfId="9444"/>
    <cellStyle name="Обычный 4 2 15 2 3" xfId="9445"/>
    <cellStyle name="Обычный 4 2 15 3" xfId="9446"/>
    <cellStyle name="Обычный 4 2 15 4" xfId="9447"/>
    <cellStyle name="Обычный 4 2 16" xfId="9448"/>
    <cellStyle name="Обычный 4 2 16 2" xfId="9449"/>
    <cellStyle name="Обычный 4 2 16 3" xfId="9450"/>
    <cellStyle name="Обычный 4 2 17" xfId="9451"/>
    <cellStyle name="Обычный 4 2 18" xfId="9452"/>
    <cellStyle name="Обычный 4 2 19" xfId="9453"/>
    <cellStyle name="Обычный 4 2 2" xfId="9454"/>
    <cellStyle name="Обычный 4 2 2 10" xfId="9455"/>
    <cellStyle name="Обычный 4 2 2 10 2" xfId="9456"/>
    <cellStyle name="Обычный 4 2 2 10 2 2" xfId="9457"/>
    <cellStyle name="Обычный 4 2 2 10 2 3" xfId="9458"/>
    <cellStyle name="Обычный 4 2 2 10 3" xfId="9459"/>
    <cellStyle name="Обычный 4 2 2 10 4" xfId="9460"/>
    <cellStyle name="Обычный 4 2 2 11" xfId="9461"/>
    <cellStyle name="Обычный 4 2 2 11 2" xfId="9462"/>
    <cellStyle name="Обычный 4 2 2 11 3" xfId="9463"/>
    <cellStyle name="Обычный 4 2 2 12" xfId="9464"/>
    <cellStyle name="Обычный 4 2 2 13" xfId="9465"/>
    <cellStyle name="Обычный 4 2 2 2" xfId="9466"/>
    <cellStyle name="Обычный 4 2 2 2 10" xfId="9467"/>
    <cellStyle name="Обычный 4 2 2 2 2" xfId="9468"/>
    <cellStyle name="Обычный 4 2 2 2 2 2" xfId="9469"/>
    <cellStyle name="Обычный 4 2 2 2 2 2 2" xfId="9470"/>
    <cellStyle name="Обычный 4 2 2 2 2 2 2 2" xfId="9471"/>
    <cellStyle name="Обычный 4 2 2 2 2 2 2 3" xfId="9472"/>
    <cellStyle name="Обычный 4 2 2 2 2 2 3" xfId="9473"/>
    <cellStyle name="Обычный 4 2 2 2 2 2 4" xfId="9474"/>
    <cellStyle name="Обычный 4 2 2 2 2 3" xfId="9475"/>
    <cellStyle name="Обычный 4 2 2 2 2 3 2" xfId="9476"/>
    <cellStyle name="Обычный 4 2 2 2 2 3 3" xfId="9477"/>
    <cellStyle name="Обычный 4 2 2 2 2 4" xfId="9478"/>
    <cellStyle name="Обычный 4 2 2 2 2 5" xfId="9479"/>
    <cellStyle name="Обычный 4 2 2 2 3" xfId="9480"/>
    <cellStyle name="Обычный 4 2 2 2 3 2" xfId="9481"/>
    <cellStyle name="Обычный 4 2 2 2 3 2 2" xfId="9482"/>
    <cellStyle name="Обычный 4 2 2 2 3 2 2 2" xfId="9483"/>
    <cellStyle name="Обычный 4 2 2 2 3 2 2 3" xfId="9484"/>
    <cellStyle name="Обычный 4 2 2 2 3 2 3" xfId="9485"/>
    <cellStyle name="Обычный 4 2 2 2 3 2 4" xfId="9486"/>
    <cellStyle name="Обычный 4 2 2 2 3 3" xfId="9487"/>
    <cellStyle name="Обычный 4 2 2 2 3 3 2" xfId="9488"/>
    <cellStyle name="Обычный 4 2 2 2 3 3 3" xfId="9489"/>
    <cellStyle name="Обычный 4 2 2 2 3 4" xfId="9490"/>
    <cellStyle name="Обычный 4 2 2 2 3 5" xfId="9491"/>
    <cellStyle name="Обычный 4 2 2 2 4" xfId="9492"/>
    <cellStyle name="Обычный 4 2 2 2 4 2" xfId="9493"/>
    <cellStyle name="Обычный 4 2 2 2 4 2 2" xfId="9494"/>
    <cellStyle name="Обычный 4 2 2 2 4 2 2 2" xfId="9495"/>
    <cellStyle name="Обычный 4 2 2 2 4 2 2 3" xfId="9496"/>
    <cellStyle name="Обычный 4 2 2 2 4 2 3" xfId="9497"/>
    <cellStyle name="Обычный 4 2 2 2 4 2 4" xfId="9498"/>
    <cellStyle name="Обычный 4 2 2 2 4 3" xfId="9499"/>
    <cellStyle name="Обычный 4 2 2 2 4 3 2" xfId="9500"/>
    <cellStyle name="Обычный 4 2 2 2 4 3 3" xfId="9501"/>
    <cellStyle name="Обычный 4 2 2 2 4 4" xfId="9502"/>
    <cellStyle name="Обычный 4 2 2 2 4 5" xfId="9503"/>
    <cellStyle name="Обычный 4 2 2 2 5" xfId="9504"/>
    <cellStyle name="Обычный 4 2 2 2 5 2" xfId="9505"/>
    <cellStyle name="Обычный 4 2 2 2 5 2 2" xfId="9506"/>
    <cellStyle name="Обычный 4 2 2 2 5 2 2 2" xfId="9507"/>
    <cellStyle name="Обычный 4 2 2 2 5 2 2 3" xfId="9508"/>
    <cellStyle name="Обычный 4 2 2 2 5 2 3" xfId="9509"/>
    <cellStyle name="Обычный 4 2 2 2 5 2 4" xfId="9510"/>
    <cellStyle name="Обычный 4 2 2 2 5 3" xfId="9511"/>
    <cellStyle name="Обычный 4 2 2 2 5 3 2" xfId="9512"/>
    <cellStyle name="Обычный 4 2 2 2 5 3 3" xfId="9513"/>
    <cellStyle name="Обычный 4 2 2 2 5 4" xfId="9514"/>
    <cellStyle name="Обычный 4 2 2 2 5 5" xfId="9515"/>
    <cellStyle name="Обычный 4 2 2 2 6" xfId="9516"/>
    <cellStyle name="Обычный 4 2 2 2 6 2" xfId="9517"/>
    <cellStyle name="Обычный 4 2 2 2 6 2 2" xfId="9518"/>
    <cellStyle name="Обычный 4 2 2 2 6 2 2 2" xfId="9519"/>
    <cellStyle name="Обычный 4 2 2 2 6 2 2 3" xfId="9520"/>
    <cellStyle name="Обычный 4 2 2 2 6 2 3" xfId="9521"/>
    <cellStyle name="Обычный 4 2 2 2 6 2 4" xfId="9522"/>
    <cellStyle name="Обычный 4 2 2 2 6 3" xfId="9523"/>
    <cellStyle name="Обычный 4 2 2 2 6 3 2" xfId="9524"/>
    <cellStyle name="Обычный 4 2 2 2 6 3 3" xfId="9525"/>
    <cellStyle name="Обычный 4 2 2 2 6 4" xfId="9526"/>
    <cellStyle name="Обычный 4 2 2 2 6 5" xfId="9527"/>
    <cellStyle name="Обычный 4 2 2 2 7" xfId="9528"/>
    <cellStyle name="Обычный 4 2 2 2 7 2" xfId="9529"/>
    <cellStyle name="Обычный 4 2 2 2 7 2 2" xfId="9530"/>
    <cellStyle name="Обычный 4 2 2 2 7 2 3" xfId="9531"/>
    <cellStyle name="Обычный 4 2 2 2 7 3" xfId="9532"/>
    <cellStyle name="Обычный 4 2 2 2 7 4" xfId="9533"/>
    <cellStyle name="Обычный 4 2 2 2 8" xfId="9534"/>
    <cellStyle name="Обычный 4 2 2 2 8 2" xfId="9535"/>
    <cellStyle name="Обычный 4 2 2 2 8 3" xfId="9536"/>
    <cellStyle name="Обычный 4 2 2 2 9" xfId="9537"/>
    <cellStyle name="Обычный 4 2 2 2_Расчет  30 млн_Технополис  Коренькова" xfId="9538"/>
    <cellStyle name="Обычный 4 2 2 3" xfId="9539"/>
    <cellStyle name="Обычный 4 2 2 3 10" xfId="9540"/>
    <cellStyle name="Обычный 4 2 2 3 2" xfId="9541"/>
    <cellStyle name="Обычный 4 2 2 3 2 2" xfId="9542"/>
    <cellStyle name="Обычный 4 2 2 3 2 2 2" xfId="9543"/>
    <cellStyle name="Обычный 4 2 2 3 2 2 2 2" xfId="9544"/>
    <cellStyle name="Обычный 4 2 2 3 2 2 2 3" xfId="9545"/>
    <cellStyle name="Обычный 4 2 2 3 2 2 3" xfId="9546"/>
    <cellStyle name="Обычный 4 2 2 3 2 2 4" xfId="9547"/>
    <cellStyle name="Обычный 4 2 2 3 2 3" xfId="9548"/>
    <cellStyle name="Обычный 4 2 2 3 2 3 2" xfId="9549"/>
    <cellStyle name="Обычный 4 2 2 3 2 3 3" xfId="9550"/>
    <cellStyle name="Обычный 4 2 2 3 2 4" xfId="9551"/>
    <cellStyle name="Обычный 4 2 2 3 2 5" xfId="9552"/>
    <cellStyle name="Обычный 4 2 2 3 3" xfId="9553"/>
    <cellStyle name="Обычный 4 2 2 3 3 2" xfId="9554"/>
    <cellStyle name="Обычный 4 2 2 3 3 2 2" xfId="9555"/>
    <cellStyle name="Обычный 4 2 2 3 3 2 2 2" xfId="9556"/>
    <cellStyle name="Обычный 4 2 2 3 3 2 2 3" xfId="9557"/>
    <cellStyle name="Обычный 4 2 2 3 3 2 3" xfId="9558"/>
    <cellStyle name="Обычный 4 2 2 3 3 2 4" xfId="9559"/>
    <cellStyle name="Обычный 4 2 2 3 3 3" xfId="9560"/>
    <cellStyle name="Обычный 4 2 2 3 3 3 2" xfId="9561"/>
    <cellStyle name="Обычный 4 2 2 3 3 3 3" xfId="9562"/>
    <cellStyle name="Обычный 4 2 2 3 3 4" xfId="9563"/>
    <cellStyle name="Обычный 4 2 2 3 3 5" xfId="9564"/>
    <cellStyle name="Обычный 4 2 2 3 4" xfId="9565"/>
    <cellStyle name="Обычный 4 2 2 3 4 2" xfId="9566"/>
    <cellStyle name="Обычный 4 2 2 3 4 2 2" xfId="9567"/>
    <cellStyle name="Обычный 4 2 2 3 4 2 2 2" xfId="9568"/>
    <cellStyle name="Обычный 4 2 2 3 4 2 2 3" xfId="9569"/>
    <cellStyle name="Обычный 4 2 2 3 4 2 3" xfId="9570"/>
    <cellStyle name="Обычный 4 2 2 3 4 2 4" xfId="9571"/>
    <cellStyle name="Обычный 4 2 2 3 4 3" xfId="9572"/>
    <cellStyle name="Обычный 4 2 2 3 4 3 2" xfId="9573"/>
    <cellStyle name="Обычный 4 2 2 3 4 3 3" xfId="9574"/>
    <cellStyle name="Обычный 4 2 2 3 4 4" xfId="9575"/>
    <cellStyle name="Обычный 4 2 2 3 4 5" xfId="9576"/>
    <cellStyle name="Обычный 4 2 2 3 5" xfId="9577"/>
    <cellStyle name="Обычный 4 2 2 3 5 2" xfId="9578"/>
    <cellStyle name="Обычный 4 2 2 3 5 2 2" xfId="9579"/>
    <cellStyle name="Обычный 4 2 2 3 5 2 2 2" xfId="9580"/>
    <cellStyle name="Обычный 4 2 2 3 5 2 2 3" xfId="9581"/>
    <cellStyle name="Обычный 4 2 2 3 5 2 3" xfId="9582"/>
    <cellStyle name="Обычный 4 2 2 3 5 2 4" xfId="9583"/>
    <cellStyle name="Обычный 4 2 2 3 5 3" xfId="9584"/>
    <cellStyle name="Обычный 4 2 2 3 5 3 2" xfId="9585"/>
    <cellStyle name="Обычный 4 2 2 3 5 3 3" xfId="9586"/>
    <cellStyle name="Обычный 4 2 2 3 5 4" xfId="9587"/>
    <cellStyle name="Обычный 4 2 2 3 5 5" xfId="9588"/>
    <cellStyle name="Обычный 4 2 2 3 6" xfId="9589"/>
    <cellStyle name="Обычный 4 2 2 3 6 2" xfId="9590"/>
    <cellStyle name="Обычный 4 2 2 3 6 2 2" xfId="9591"/>
    <cellStyle name="Обычный 4 2 2 3 6 2 2 2" xfId="9592"/>
    <cellStyle name="Обычный 4 2 2 3 6 2 2 3" xfId="9593"/>
    <cellStyle name="Обычный 4 2 2 3 6 2 3" xfId="9594"/>
    <cellStyle name="Обычный 4 2 2 3 6 2 4" xfId="9595"/>
    <cellStyle name="Обычный 4 2 2 3 6 3" xfId="9596"/>
    <cellStyle name="Обычный 4 2 2 3 6 3 2" xfId="9597"/>
    <cellStyle name="Обычный 4 2 2 3 6 3 3" xfId="9598"/>
    <cellStyle name="Обычный 4 2 2 3 6 4" xfId="9599"/>
    <cellStyle name="Обычный 4 2 2 3 6 5" xfId="9600"/>
    <cellStyle name="Обычный 4 2 2 3 7" xfId="9601"/>
    <cellStyle name="Обычный 4 2 2 3 7 2" xfId="9602"/>
    <cellStyle name="Обычный 4 2 2 3 7 2 2" xfId="9603"/>
    <cellStyle name="Обычный 4 2 2 3 7 2 3" xfId="9604"/>
    <cellStyle name="Обычный 4 2 2 3 7 3" xfId="9605"/>
    <cellStyle name="Обычный 4 2 2 3 7 4" xfId="9606"/>
    <cellStyle name="Обычный 4 2 2 3 8" xfId="9607"/>
    <cellStyle name="Обычный 4 2 2 3 8 2" xfId="9608"/>
    <cellStyle name="Обычный 4 2 2 3 8 3" xfId="9609"/>
    <cellStyle name="Обычный 4 2 2 3 9" xfId="9610"/>
    <cellStyle name="Обычный 4 2 2 3_Расчет  30 млн_Технополис  Коренькова" xfId="9611"/>
    <cellStyle name="Обычный 4 2 2 4" xfId="9612"/>
    <cellStyle name="Обычный 4 2 2 4 10" xfId="9613"/>
    <cellStyle name="Обычный 4 2 2 4 2" xfId="9614"/>
    <cellStyle name="Обычный 4 2 2 4 2 2" xfId="9615"/>
    <cellStyle name="Обычный 4 2 2 4 2 2 2" xfId="9616"/>
    <cellStyle name="Обычный 4 2 2 4 2 3" xfId="9617"/>
    <cellStyle name="Обычный 4 2 2 4 3" xfId="9618"/>
    <cellStyle name="Обычный 4 2 2 4 3 2" xfId="9619"/>
    <cellStyle name="Обычный 4 2 2 4 3 2 2" xfId="9620"/>
    <cellStyle name="Обычный 4 2 2 4 3 2 2 2" xfId="9621"/>
    <cellStyle name="Обычный 4 2 2 4 3 2 2 3" xfId="9622"/>
    <cellStyle name="Обычный 4 2 2 4 3 2 3" xfId="9623"/>
    <cellStyle name="Обычный 4 2 2 4 3 2 4" xfId="9624"/>
    <cellStyle name="Обычный 4 2 2 4 3 3" xfId="9625"/>
    <cellStyle name="Обычный 4 2 2 4 3 3 2" xfId="9626"/>
    <cellStyle name="Обычный 4 2 2 4 3 3 3" xfId="9627"/>
    <cellStyle name="Обычный 4 2 2 4 3 4" xfId="9628"/>
    <cellStyle name="Обычный 4 2 2 4 3 5" xfId="9629"/>
    <cellStyle name="Обычный 4 2 2 4 4" xfId="9630"/>
    <cellStyle name="Обычный 4 2 2 4 4 2" xfId="9631"/>
    <cellStyle name="Обычный 4 2 2 4 4 2 2" xfId="9632"/>
    <cellStyle name="Обычный 4 2 2 4 4 2 2 2" xfId="9633"/>
    <cellStyle name="Обычный 4 2 2 4 4 2 2 3" xfId="9634"/>
    <cellStyle name="Обычный 4 2 2 4 4 2 3" xfId="9635"/>
    <cellStyle name="Обычный 4 2 2 4 4 2 4" xfId="9636"/>
    <cellStyle name="Обычный 4 2 2 4 4 3" xfId="9637"/>
    <cellStyle name="Обычный 4 2 2 4 4 3 2" xfId="9638"/>
    <cellStyle name="Обычный 4 2 2 4 4 3 3" xfId="9639"/>
    <cellStyle name="Обычный 4 2 2 4 4 4" xfId="9640"/>
    <cellStyle name="Обычный 4 2 2 4 4 5" xfId="9641"/>
    <cellStyle name="Обычный 4 2 2 4 5" xfId="9642"/>
    <cellStyle name="Обычный 4 2 2 4 5 2" xfId="9643"/>
    <cellStyle name="Обычный 4 2 2 4 5 2 2" xfId="9644"/>
    <cellStyle name="Обычный 4 2 2 4 5 2 2 2" xfId="9645"/>
    <cellStyle name="Обычный 4 2 2 4 5 2 2 3" xfId="9646"/>
    <cellStyle name="Обычный 4 2 2 4 5 2 3" xfId="9647"/>
    <cellStyle name="Обычный 4 2 2 4 5 2 4" xfId="9648"/>
    <cellStyle name="Обычный 4 2 2 4 5 3" xfId="9649"/>
    <cellStyle name="Обычный 4 2 2 4 5 3 2" xfId="9650"/>
    <cellStyle name="Обычный 4 2 2 4 5 3 3" xfId="9651"/>
    <cellStyle name="Обычный 4 2 2 4 5 4" xfId="9652"/>
    <cellStyle name="Обычный 4 2 2 4 5 5" xfId="9653"/>
    <cellStyle name="Обычный 4 2 2 4 6" xfId="9654"/>
    <cellStyle name="Обычный 4 2 2 4 6 2" xfId="9655"/>
    <cellStyle name="Обычный 4 2 2 4 6 2 2" xfId="9656"/>
    <cellStyle name="Обычный 4 2 2 4 6 2 2 2" xfId="9657"/>
    <cellStyle name="Обычный 4 2 2 4 6 2 2 3" xfId="9658"/>
    <cellStyle name="Обычный 4 2 2 4 6 2 3" xfId="9659"/>
    <cellStyle name="Обычный 4 2 2 4 6 2 4" xfId="9660"/>
    <cellStyle name="Обычный 4 2 2 4 6 3" xfId="9661"/>
    <cellStyle name="Обычный 4 2 2 4 6 3 2" xfId="9662"/>
    <cellStyle name="Обычный 4 2 2 4 6 3 3" xfId="9663"/>
    <cellStyle name="Обычный 4 2 2 4 6 4" xfId="9664"/>
    <cellStyle name="Обычный 4 2 2 4 6 5" xfId="9665"/>
    <cellStyle name="Обычный 4 2 2 4 7" xfId="9666"/>
    <cellStyle name="Обычный 4 2 2 4 7 2" xfId="9667"/>
    <cellStyle name="Обычный 4 2 2 4 7 2 2" xfId="9668"/>
    <cellStyle name="Обычный 4 2 2 4 7 2 3" xfId="9669"/>
    <cellStyle name="Обычный 4 2 2 4 7 3" xfId="9670"/>
    <cellStyle name="Обычный 4 2 2 4 7 4" xfId="9671"/>
    <cellStyle name="Обычный 4 2 2 4 8" xfId="9672"/>
    <cellStyle name="Обычный 4 2 2 4 8 2" xfId="9673"/>
    <cellStyle name="Обычный 4 2 2 4 8 3" xfId="9674"/>
    <cellStyle name="Обычный 4 2 2 4 9" xfId="9675"/>
    <cellStyle name="Обычный 4 2 2 4_Расчет  30 млн_Технополис  Коренькова" xfId="9676"/>
    <cellStyle name="Обычный 4 2 2 5" xfId="9677"/>
    <cellStyle name="Обычный 4 2 2 5 2" xfId="9678"/>
    <cellStyle name="Обычный 4 2 2 5 2 2" xfId="9679"/>
    <cellStyle name="Обычный 4 2 2 5 2 2 2" xfId="9680"/>
    <cellStyle name="Обычный 4 2 2 5 2 2 3" xfId="9681"/>
    <cellStyle name="Обычный 4 2 2 5 2 3" xfId="9682"/>
    <cellStyle name="Обычный 4 2 2 5 2 4" xfId="9683"/>
    <cellStyle name="Обычный 4 2 2 5 3" xfId="9684"/>
    <cellStyle name="Обычный 4 2 2 5 3 2" xfId="9685"/>
    <cellStyle name="Обычный 4 2 2 5 3 3" xfId="9686"/>
    <cellStyle name="Обычный 4 2 2 5 4" xfId="9687"/>
    <cellStyle name="Обычный 4 2 2 5 5" xfId="9688"/>
    <cellStyle name="Обычный 4 2 2 6" xfId="9689"/>
    <cellStyle name="Обычный 4 2 2 6 2" xfId="9690"/>
    <cellStyle name="Обычный 4 2 2 6 2 2" xfId="9691"/>
    <cellStyle name="Обычный 4 2 2 6 2 2 2" xfId="9692"/>
    <cellStyle name="Обычный 4 2 2 6 2 2 3" xfId="9693"/>
    <cellStyle name="Обычный 4 2 2 6 2 3" xfId="9694"/>
    <cellStyle name="Обычный 4 2 2 6 2 4" xfId="9695"/>
    <cellStyle name="Обычный 4 2 2 6 3" xfId="9696"/>
    <cellStyle name="Обычный 4 2 2 6 3 2" xfId="9697"/>
    <cellStyle name="Обычный 4 2 2 6 3 3" xfId="9698"/>
    <cellStyle name="Обычный 4 2 2 6 4" xfId="9699"/>
    <cellStyle name="Обычный 4 2 2 6 5" xfId="9700"/>
    <cellStyle name="Обычный 4 2 2 7" xfId="9701"/>
    <cellStyle name="Обычный 4 2 2 7 2" xfId="9702"/>
    <cellStyle name="Обычный 4 2 2 7 2 2" xfId="9703"/>
    <cellStyle name="Обычный 4 2 2 7 2 2 2" xfId="9704"/>
    <cellStyle name="Обычный 4 2 2 7 2 2 3" xfId="9705"/>
    <cellStyle name="Обычный 4 2 2 7 2 3" xfId="9706"/>
    <cellStyle name="Обычный 4 2 2 7 2 4" xfId="9707"/>
    <cellStyle name="Обычный 4 2 2 7 3" xfId="9708"/>
    <cellStyle name="Обычный 4 2 2 7 3 2" xfId="9709"/>
    <cellStyle name="Обычный 4 2 2 7 3 3" xfId="9710"/>
    <cellStyle name="Обычный 4 2 2 7 4" xfId="9711"/>
    <cellStyle name="Обычный 4 2 2 7 5" xfId="9712"/>
    <cellStyle name="Обычный 4 2 2 8" xfId="9713"/>
    <cellStyle name="Обычный 4 2 2 8 2" xfId="9714"/>
    <cellStyle name="Обычный 4 2 2 8 2 2" xfId="9715"/>
    <cellStyle name="Обычный 4 2 2 8 2 2 2" xfId="9716"/>
    <cellStyle name="Обычный 4 2 2 8 2 2 3" xfId="9717"/>
    <cellStyle name="Обычный 4 2 2 8 2 3" xfId="9718"/>
    <cellStyle name="Обычный 4 2 2 8 2 4" xfId="9719"/>
    <cellStyle name="Обычный 4 2 2 8 3" xfId="9720"/>
    <cellStyle name="Обычный 4 2 2 8 3 2" xfId="9721"/>
    <cellStyle name="Обычный 4 2 2 8 3 3" xfId="9722"/>
    <cellStyle name="Обычный 4 2 2 8 4" xfId="9723"/>
    <cellStyle name="Обычный 4 2 2 8 5" xfId="9724"/>
    <cellStyle name="Обычный 4 2 2 9" xfId="9725"/>
    <cellStyle name="Обычный 4 2 2 9 2" xfId="9726"/>
    <cellStyle name="Обычный 4 2 2 9 2 2" xfId="9727"/>
    <cellStyle name="Обычный 4 2 2 9 2 2 2" xfId="9728"/>
    <cellStyle name="Обычный 4 2 2 9 2 2 3" xfId="9729"/>
    <cellStyle name="Обычный 4 2 2 9 2 3" xfId="9730"/>
    <cellStyle name="Обычный 4 2 2 9 2 4" xfId="9731"/>
    <cellStyle name="Обычный 4 2 2 9 3" xfId="9732"/>
    <cellStyle name="Обычный 4 2 2 9 3 2" xfId="9733"/>
    <cellStyle name="Обычный 4 2 2 9 3 3" xfId="9734"/>
    <cellStyle name="Обычный 4 2 2 9 4" xfId="9735"/>
    <cellStyle name="Обычный 4 2 2 9 5" xfId="9736"/>
    <cellStyle name="Обычный 4 2 2_1 ВАР. КП 1 293  +8пропорцЛара" xfId="9737"/>
    <cellStyle name="Обычный 4 2 3" xfId="9738"/>
    <cellStyle name="Обычный 4 2 3 10" xfId="9739"/>
    <cellStyle name="Обычный 4 2 3 10 2" xfId="9740"/>
    <cellStyle name="Обычный 4 2 3 10 2 2" xfId="9741"/>
    <cellStyle name="Обычный 4 2 3 10 2 3" xfId="9742"/>
    <cellStyle name="Обычный 4 2 3 10 3" xfId="9743"/>
    <cellStyle name="Обычный 4 2 3 10 4" xfId="9744"/>
    <cellStyle name="Обычный 4 2 3 11" xfId="9745"/>
    <cellStyle name="Обычный 4 2 3 11 2" xfId="9746"/>
    <cellStyle name="Обычный 4 2 3 11 3" xfId="9747"/>
    <cellStyle name="Обычный 4 2 3 12" xfId="9748"/>
    <cellStyle name="Обычный 4 2 3 13" xfId="9749"/>
    <cellStyle name="Обычный 4 2 3 2" xfId="9750"/>
    <cellStyle name="Обычный 4 2 3 2 10" xfId="9751"/>
    <cellStyle name="Обычный 4 2 3 2 2" xfId="9752"/>
    <cellStyle name="Обычный 4 2 3 2 2 2" xfId="9753"/>
    <cellStyle name="Обычный 4 2 3 2 2 2 2" xfId="9754"/>
    <cellStyle name="Обычный 4 2 3 2 2 2 2 2" xfId="9755"/>
    <cellStyle name="Обычный 4 2 3 2 2 2 2 3" xfId="9756"/>
    <cellStyle name="Обычный 4 2 3 2 2 2 3" xfId="9757"/>
    <cellStyle name="Обычный 4 2 3 2 2 2 4" xfId="9758"/>
    <cellStyle name="Обычный 4 2 3 2 2 3" xfId="9759"/>
    <cellStyle name="Обычный 4 2 3 2 2 3 2" xfId="9760"/>
    <cellStyle name="Обычный 4 2 3 2 2 3 3" xfId="9761"/>
    <cellStyle name="Обычный 4 2 3 2 2 4" xfId="9762"/>
    <cellStyle name="Обычный 4 2 3 2 2 5" xfId="9763"/>
    <cellStyle name="Обычный 4 2 3 2 3" xfId="9764"/>
    <cellStyle name="Обычный 4 2 3 2 3 2" xfId="9765"/>
    <cellStyle name="Обычный 4 2 3 2 3 2 2" xfId="9766"/>
    <cellStyle name="Обычный 4 2 3 2 3 2 2 2" xfId="9767"/>
    <cellStyle name="Обычный 4 2 3 2 3 2 2 3" xfId="9768"/>
    <cellStyle name="Обычный 4 2 3 2 3 2 3" xfId="9769"/>
    <cellStyle name="Обычный 4 2 3 2 3 2 4" xfId="9770"/>
    <cellStyle name="Обычный 4 2 3 2 3 3" xfId="9771"/>
    <cellStyle name="Обычный 4 2 3 2 3 3 2" xfId="9772"/>
    <cellStyle name="Обычный 4 2 3 2 3 3 3" xfId="9773"/>
    <cellStyle name="Обычный 4 2 3 2 3 4" xfId="9774"/>
    <cellStyle name="Обычный 4 2 3 2 3 5" xfId="9775"/>
    <cellStyle name="Обычный 4 2 3 2 4" xfId="9776"/>
    <cellStyle name="Обычный 4 2 3 2 4 2" xfId="9777"/>
    <cellStyle name="Обычный 4 2 3 2 4 2 2" xfId="9778"/>
    <cellStyle name="Обычный 4 2 3 2 4 2 2 2" xfId="9779"/>
    <cellStyle name="Обычный 4 2 3 2 4 2 2 3" xfId="9780"/>
    <cellStyle name="Обычный 4 2 3 2 4 2 3" xfId="9781"/>
    <cellStyle name="Обычный 4 2 3 2 4 2 4" xfId="9782"/>
    <cellStyle name="Обычный 4 2 3 2 4 3" xfId="9783"/>
    <cellStyle name="Обычный 4 2 3 2 4 3 2" xfId="9784"/>
    <cellStyle name="Обычный 4 2 3 2 4 3 3" xfId="9785"/>
    <cellStyle name="Обычный 4 2 3 2 4 4" xfId="9786"/>
    <cellStyle name="Обычный 4 2 3 2 4 5" xfId="9787"/>
    <cellStyle name="Обычный 4 2 3 2 5" xfId="9788"/>
    <cellStyle name="Обычный 4 2 3 2 5 2" xfId="9789"/>
    <cellStyle name="Обычный 4 2 3 2 5 2 2" xfId="9790"/>
    <cellStyle name="Обычный 4 2 3 2 5 2 2 2" xfId="9791"/>
    <cellStyle name="Обычный 4 2 3 2 5 2 2 3" xfId="9792"/>
    <cellStyle name="Обычный 4 2 3 2 5 2 3" xfId="9793"/>
    <cellStyle name="Обычный 4 2 3 2 5 2 4" xfId="9794"/>
    <cellStyle name="Обычный 4 2 3 2 5 3" xfId="9795"/>
    <cellStyle name="Обычный 4 2 3 2 5 3 2" xfId="9796"/>
    <cellStyle name="Обычный 4 2 3 2 5 3 3" xfId="9797"/>
    <cellStyle name="Обычный 4 2 3 2 5 4" xfId="9798"/>
    <cellStyle name="Обычный 4 2 3 2 5 5" xfId="9799"/>
    <cellStyle name="Обычный 4 2 3 2 6" xfId="9800"/>
    <cellStyle name="Обычный 4 2 3 2 6 2" xfId="9801"/>
    <cellStyle name="Обычный 4 2 3 2 6 2 2" xfId="9802"/>
    <cellStyle name="Обычный 4 2 3 2 6 2 2 2" xfId="9803"/>
    <cellStyle name="Обычный 4 2 3 2 6 2 2 3" xfId="9804"/>
    <cellStyle name="Обычный 4 2 3 2 6 2 3" xfId="9805"/>
    <cellStyle name="Обычный 4 2 3 2 6 2 4" xfId="9806"/>
    <cellStyle name="Обычный 4 2 3 2 6 3" xfId="9807"/>
    <cellStyle name="Обычный 4 2 3 2 6 3 2" xfId="9808"/>
    <cellStyle name="Обычный 4 2 3 2 6 3 3" xfId="9809"/>
    <cellStyle name="Обычный 4 2 3 2 6 4" xfId="9810"/>
    <cellStyle name="Обычный 4 2 3 2 6 5" xfId="9811"/>
    <cellStyle name="Обычный 4 2 3 2 7" xfId="9812"/>
    <cellStyle name="Обычный 4 2 3 2 7 2" xfId="9813"/>
    <cellStyle name="Обычный 4 2 3 2 7 2 2" xfId="9814"/>
    <cellStyle name="Обычный 4 2 3 2 7 2 3" xfId="9815"/>
    <cellStyle name="Обычный 4 2 3 2 7 3" xfId="9816"/>
    <cellStyle name="Обычный 4 2 3 2 7 4" xfId="9817"/>
    <cellStyle name="Обычный 4 2 3 2 8" xfId="9818"/>
    <cellStyle name="Обычный 4 2 3 2 8 2" xfId="9819"/>
    <cellStyle name="Обычный 4 2 3 2 8 3" xfId="9820"/>
    <cellStyle name="Обычный 4 2 3 2 9" xfId="9821"/>
    <cellStyle name="Обычный 4 2 3 2_Расчет  30 млн_Технополис  Коренькова" xfId="9822"/>
    <cellStyle name="Обычный 4 2 3 3" xfId="9823"/>
    <cellStyle name="Обычный 4 2 3 3 10" xfId="9824"/>
    <cellStyle name="Обычный 4 2 3 3 2" xfId="9825"/>
    <cellStyle name="Обычный 4 2 3 3 2 2" xfId="9826"/>
    <cellStyle name="Обычный 4 2 3 3 2 2 2" xfId="9827"/>
    <cellStyle name="Обычный 4 2 3 3 2 2 2 2" xfId="9828"/>
    <cellStyle name="Обычный 4 2 3 3 2 2 2 3" xfId="9829"/>
    <cellStyle name="Обычный 4 2 3 3 2 2 3" xfId="9830"/>
    <cellStyle name="Обычный 4 2 3 3 2 2 4" xfId="9831"/>
    <cellStyle name="Обычный 4 2 3 3 2 3" xfId="9832"/>
    <cellStyle name="Обычный 4 2 3 3 2 3 2" xfId="9833"/>
    <cellStyle name="Обычный 4 2 3 3 2 3 3" xfId="9834"/>
    <cellStyle name="Обычный 4 2 3 3 2 4" xfId="9835"/>
    <cellStyle name="Обычный 4 2 3 3 2 5" xfId="9836"/>
    <cellStyle name="Обычный 4 2 3 3 3" xfId="9837"/>
    <cellStyle name="Обычный 4 2 3 3 3 2" xfId="9838"/>
    <cellStyle name="Обычный 4 2 3 3 3 2 2" xfId="9839"/>
    <cellStyle name="Обычный 4 2 3 3 3 2 2 2" xfId="9840"/>
    <cellStyle name="Обычный 4 2 3 3 3 2 2 3" xfId="9841"/>
    <cellStyle name="Обычный 4 2 3 3 3 2 3" xfId="9842"/>
    <cellStyle name="Обычный 4 2 3 3 3 2 4" xfId="9843"/>
    <cellStyle name="Обычный 4 2 3 3 3 3" xfId="9844"/>
    <cellStyle name="Обычный 4 2 3 3 3 3 2" xfId="9845"/>
    <cellStyle name="Обычный 4 2 3 3 3 3 3" xfId="9846"/>
    <cellStyle name="Обычный 4 2 3 3 3 4" xfId="9847"/>
    <cellStyle name="Обычный 4 2 3 3 3 5" xfId="9848"/>
    <cellStyle name="Обычный 4 2 3 3 4" xfId="9849"/>
    <cellStyle name="Обычный 4 2 3 3 4 2" xfId="9850"/>
    <cellStyle name="Обычный 4 2 3 3 4 2 2" xfId="9851"/>
    <cellStyle name="Обычный 4 2 3 3 4 2 2 2" xfId="9852"/>
    <cellStyle name="Обычный 4 2 3 3 4 2 2 3" xfId="9853"/>
    <cellStyle name="Обычный 4 2 3 3 4 2 3" xfId="9854"/>
    <cellStyle name="Обычный 4 2 3 3 4 2 4" xfId="9855"/>
    <cellStyle name="Обычный 4 2 3 3 4 3" xfId="9856"/>
    <cellStyle name="Обычный 4 2 3 3 4 3 2" xfId="9857"/>
    <cellStyle name="Обычный 4 2 3 3 4 3 3" xfId="9858"/>
    <cellStyle name="Обычный 4 2 3 3 4 4" xfId="9859"/>
    <cellStyle name="Обычный 4 2 3 3 4 5" xfId="9860"/>
    <cellStyle name="Обычный 4 2 3 3 5" xfId="9861"/>
    <cellStyle name="Обычный 4 2 3 3 5 2" xfId="9862"/>
    <cellStyle name="Обычный 4 2 3 3 5 2 2" xfId="9863"/>
    <cellStyle name="Обычный 4 2 3 3 5 2 2 2" xfId="9864"/>
    <cellStyle name="Обычный 4 2 3 3 5 2 2 3" xfId="9865"/>
    <cellStyle name="Обычный 4 2 3 3 5 2 3" xfId="9866"/>
    <cellStyle name="Обычный 4 2 3 3 5 2 4" xfId="9867"/>
    <cellStyle name="Обычный 4 2 3 3 5 3" xfId="9868"/>
    <cellStyle name="Обычный 4 2 3 3 5 3 2" xfId="9869"/>
    <cellStyle name="Обычный 4 2 3 3 5 3 3" xfId="9870"/>
    <cellStyle name="Обычный 4 2 3 3 5 4" xfId="9871"/>
    <cellStyle name="Обычный 4 2 3 3 5 5" xfId="9872"/>
    <cellStyle name="Обычный 4 2 3 3 6" xfId="9873"/>
    <cellStyle name="Обычный 4 2 3 3 6 2" xfId="9874"/>
    <cellStyle name="Обычный 4 2 3 3 6 2 2" xfId="9875"/>
    <cellStyle name="Обычный 4 2 3 3 6 2 2 2" xfId="9876"/>
    <cellStyle name="Обычный 4 2 3 3 6 2 2 3" xfId="9877"/>
    <cellStyle name="Обычный 4 2 3 3 6 2 3" xfId="9878"/>
    <cellStyle name="Обычный 4 2 3 3 6 2 4" xfId="9879"/>
    <cellStyle name="Обычный 4 2 3 3 6 3" xfId="9880"/>
    <cellStyle name="Обычный 4 2 3 3 6 3 2" xfId="9881"/>
    <cellStyle name="Обычный 4 2 3 3 6 3 3" xfId="9882"/>
    <cellStyle name="Обычный 4 2 3 3 6 4" xfId="9883"/>
    <cellStyle name="Обычный 4 2 3 3 6 5" xfId="9884"/>
    <cellStyle name="Обычный 4 2 3 3 7" xfId="9885"/>
    <cellStyle name="Обычный 4 2 3 3 7 2" xfId="9886"/>
    <cellStyle name="Обычный 4 2 3 3 7 2 2" xfId="9887"/>
    <cellStyle name="Обычный 4 2 3 3 7 2 3" xfId="9888"/>
    <cellStyle name="Обычный 4 2 3 3 7 3" xfId="9889"/>
    <cellStyle name="Обычный 4 2 3 3 7 4" xfId="9890"/>
    <cellStyle name="Обычный 4 2 3 3 8" xfId="9891"/>
    <cellStyle name="Обычный 4 2 3 3 8 2" xfId="9892"/>
    <cellStyle name="Обычный 4 2 3 3 8 3" xfId="9893"/>
    <cellStyle name="Обычный 4 2 3 3 9" xfId="9894"/>
    <cellStyle name="Обычный 4 2 3 3_Расчет  30 млн_Технополис  Коренькова" xfId="9895"/>
    <cellStyle name="Обычный 4 2 3 4" xfId="9896"/>
    <cellStyle name="Обычный 4 2 3 4 10" xfId="9897"/>
    <cellStyle name="Обычный 4 2 3 4 2" xfId="9898"/>
    <cellStyle name="Обычный 4 2 3 4 2 2" xfId="9899"/>
    <cellStyle name="Обычный 4 2 3 4 2 2 2" xfId="9900"/>
    <cellStyle name="Обычный 4 2 3 4 2 2 2 2" xfId="9901"/>
    <cellStyle name="Обычный 4 2 3 4 2 2 2 3" xfId="9902"/>
    <cellStyle name="Обычный 4 2 3 4 2 2 3" xfId="9903"/>
    <cellStyle name="Обычный 4 2 3 4 2 2 4" xfId="9904"/>
    <cellStyle name="Обычный 4 2 3 4 2 3" xfId="9905"/>
    <cellStyle name="Обычный 4 2 3 4 2 3 2" xfId="9906"/>
    <cellStyle name="Обычный 4 2 3 4 2 3 3" xfId="9907"/>
    <cellStyle name="Обычный 4 2 3 4 2 4" xfId="9908"/>
    <cellStyle name="Обычный 4 2 3 4 2 5" xfId="9909"/>
    <cellStyle name="Обычный 4 2 3 4 3" xfId="9910"/>
    <cellStyle name="Обычный 4 2 3 4 3 2" xfId="9911"/>
    <cellStyle name="Обычный 4 2 3 4 3 2 2" xfId="9912"/>
    <cellStyle name="Обычный 4 2 3 4 3 2 2 2" xfId="9913"/>
    <cellStyle name="Обычный 4 2 3 4 3 2 2 3" xfId="9914"/>
    <cellStyle name="Обычный 4 2 3 4 3 2 3" xfId="9915"/>
    <cellStyle name="Обычный 4 2 3 4 3 2 4" xfId="9916"/>
    <cellStyle name="Обычный 4 2 3 4 3 3" xfId="9917"/>
    <cellStyle name="Обычный 4 2 3 4 3 3 2" xfId="9918"/>
    <cellStyle name="Обычный 4 2 3 4 3 3 3" xfId="9919"/>
    <cellStyle name="Обычный 4 2 3 4 3 4" xfId="9920"/>
    <cellStyle name="Обычный 4 2 3 4 3 5" xfId="9921"/>
    <cellStyle name="Обычный 4 2 3 4 4" xfId="9922"/>
    <cellStyle name="Обычный 4 2 3 4 4 2" xfId="9923"/>
    <cellStyle name="Обычный 4 2 3 4 4 2 2" xfId="9924"/>
    <cellStyle name="Обычный 4 2 3 4 4 2 2 2" xfId="9925"/>
    <cellStyle name="Обычный 4 2 3 4 4 2 2 3" xfId="9926"/>
    <cellStyle name="Обычный 4 2 3 4 4 2 3" xfId="9927"/>
    <cellStyle name="Обычный 4 2 3 4 4 2 4" xfId="9928"/>
    <cellStyle name="Обычный 4 2 3 4 4 3" xfId="9929"/>
    <cellStyle name="Обычный 4 2 3 4 4 3 2" xfId="9930"/>
    <cellStyle name="Обычный 4 2 3 4 4 3 3" xfId="9931"/>
    <cellStyle name="Обычный 4 2 3 4 4 4" xfId="9932"/>
    <cellStyle name="Обычный 4 2 3 4 4 5" xfId="9933"/>
    <cellStyle name="Обычный 4 2 3 4 5" xfId="9934"/>
    <cellStyle name="Обычный 4 2 3 4 5 2" xfId="9935"/>
    <cellStyle name="Обычный 4 2 3 4 5 2 2" xfId="9936"/>
    <cellStyle name="Обычный 4 2 3 4 5 2 2 2" xfId="9937"/>
    <cellStyle name="Обычный 4 2 3 4 5 2 2 3" xfId="9938"/>
    <cellStyle name="Обычный 4 2 3 4 5 2 3" xfId="9939"/>
    <cellStyle name="Обычный 4 2 3 4 5 2 4" xfId="9940"/>
    <cellStyle name="Обычный 4 2 3 4 5 3" xfId="9941"/>
    <cellStyle name="Обычный 4 2 3 4 5 3 2" xfId="9942"/>
    <cellStyle name="Обычный 4 2 3 4 5 3 3" xfId="9943"/>
    <cellStyle name="Обычный 4 2 3 4 5 4" xfId="9944"/>
    <cellStyle name="Обычный 4 2 3 4 5 5" xfId="9945"/>
    <cellStyle name="Обычный 4 2 3 4 6" xfId="9946"/>
    <cellStyle name="Обычный 4 2 3 4 6 2" xfId="9947"/>
    <cellStyle name="Обычный 4 2 3 4 6 2 2" xfId="9948"/>
    <cellStyle name="Обычный 4 2 3 4 6 2 2 2" xfId="9949"/>
    <cellStyle name="Обычный 4 2 3 4 6 2 2 3" xfId="9950"/>
    <cellStyle name="Обычный 4 2 3 4 6 2 3" xfId="9951"/>
    <cellStyle name="Обычный 4 2 3 4 6 2 4" xfId="9952"/>
    <cellStyle name="Обычный 4 2 3 4 6 3" xfId="9953"/>
    <cellStyle name="Обычный 4 2 3 4 6 3 2" xfId="9954"/>
    <cellStyle name="Обычный 4 2 3 4 6 3 3" xfId="9955"/>
    <cellStyle name="Обычный 4 2 3 4 6 4" xfId="9956"/>
    <cellStyle name="Обычный 4 2 3 4 6 5" xfId="9957"/>
    <cellStyle name="Обычный 4 2 3 4 7" xfId="9958"/>
    <cellStyle name="Обычный 4 2 3 4 7 2" xfId="9959"/>
    <cellStyle name="Обычный 4 2 3 4 7 2 2" xfId="9960"/>
    <cellStyle name="Обычный 4 2 3 4 7 2 3" xfId="9961"/>
    <cellStyle name="Обычный 4 2 3 4 7 3" xfId="9962"/>
    <cellStyle name="Обычный 4 2 3 4 7 4" xfId="9963"/>
    <cellStyle name="Обычный 4 2 3 4 8" xfId="9964"/>
    <cellStyle name="Обычный 4 2 3 4 8 2" xfId="9965"/>
    <cellStyle name="Обычный 4 2 3 4 8 3" xfId="9966"/>
    <cellStyle name="Обычный 4 2 3 4 9" xfId="9967"/>
    <cellStyle name="Обычный 4 2 3 4_Расчет  30 млн_Технополис  Коренькова" xfId="9968"/>
    <cellStyle name="Обычный 4 2 3 5" xfId="9969"/>
    <cellStyle name="Обычный 4 2 3 5 2" xfId="9970"/>
    <cellStyle name="Обычный 4 2 3 5 2 2" xfId="9971"/>
    <cellStyle name="Обычный 4 2 3 5 2 2 2" xfId="9972"/>
    <cellStyle name="Обычный 4 2 3 5 2 2 3" xfId="9973"/>
    <cellStyle name="Обычный 4 2 3 5 2 3" xfId="9974"/>
    <cellStyle name="Обычный 4 2 3 5 2 4" xfId="9975"/>
    <cellStyle name="Обычный 4 2 3 5 3" xfId="9976"/>
    <cellStyle name="Обычный 4 2 3 5 3 2" xfId="9977"/>
    <cellStyle name="Обычный 4 2 3 5 3 3" xfId="9978"/>
    <cellStyle name="Обычный 4 2 3 5 4" xfId="9979"/>
    <cellStyle name="Обычный 4 2 3 5 5" xfId="9980"/>
    <cellStyle name="Обычный 4 2 3 6" xfId="9981"/>
    <cellStyle name="Обычный 4 2 3 6 2" xfId="9982"/>
    <cellStyle name="Обычный 4 2 3 6 2 2" xfId="9983"/>
    <cellStyle name="Обычный 4 2 3 6 2 2 2" xfId="9984"/>
    <cellStyle name="Обычный 4 2 3 6 2 2 3" xfId="9985"/>
    <cellStyle name="Обычный 4 2 3 6 2 3" xfId="9986"/>
    <cellStyle name="Обычный 4 2 3 6 2 4" xfId="9987"/>
    <cellStyle name="Обычный 4 2 3 6 3" xfId="9988"/>
    <cellStyle name="Обычный 4 2 3 6 3 2" xfId="9989"/>
    <cellStyle name="Обычный 4 2 3 6 3 3" xfId="9990"/>
    <cellStyle name="Обычный 4 2 3 6 4" xfId="9991"/>
    <cellStyle name="Обычный 4 2 3 6 5" xfId="9992"/>
    <cellStyle name="Обычный 4 2 3 7" xfId="9993"/>
    <cellStyle name="Обычный 4 2 3 7 2" xfId="9994"/>
    <cellStyle name="Обычный 4 2 3 7 2 2" xfId="9995"/>
    <cellStyle name="Обычный 4 2 3 7 2 2 2" xfId="9996"/>
    <cellStyle name="Обычный 4 2 3 7 2 2 3" xfId="9997"/>
    <cellStyle name="Обычный 4 2 3 7 2 3" xfId="9998"/>
    <cellStyle name="Обычный 4 2 3 7 2 4" xfId="9999"/>
    <cellStyle name="Обычный 4 2 3 7 3" xfId="10000"/>
    <cellStyle name="Обычный 4 2 3 7 3 2" xfId="10001"/>
    <cellStyle name="Обычный 4 2 3 7 3 3" xfId="10002"/>
    <cellStyle name="Обычный 4 2 3 7 4" xfId="10003"/>
    <cellStyle name="Обычный 4 2 3 7 5" xfId="10004"/>
    <cellStyle name="Обычный 4 2 3 8" xfId="10005"/>
    <cellStyle name="Обычный 4 2 3 8 2" xfId="10006"/>
    <cellStyle name="Обычный 4 2 3 8 2 2" xfId="10007"/>
    <cellStyle name="Обычный 4 2 3 8 2 2 2" xfId="10008"/>
    <cellStyle name="Обычный 4 2 3 8 2 2 3" xfId="10009"/>
    <cellStyle name="Обычный 4 2 3 8 2 3" xfId="10010"/>
    <cellStyle name="Обычный 4 2 3 8 2 4" xfId="10011"/>
    <cellStyle name="Обычный 4 2 3 8 3" xfId="10012"/>
    <cellStyle name="Обычный 4 2 3 8 3 2" xfId="10013"/>
    <cellStyle name="Обычный 4 2 3 8 3 3" xfId="10014"/>
    <cellStyle name="Обычный 4 2 3 8 4" xfId="10015"/>
    <cellStyle name="Обычный 4 2 3 8 5" xfId="10016"/>
    <cellStyle name="Обычный 4 2 3 9" xfId="10017"/>
    <cellStyle name="Обычный 4 2 3 9 2" xfId="10018"/>
    <cellStyle name="Обычный 4 2 3 9 2 2" xfId="10019"/>
    <cellStyle name="Обычный 4 2 3 9 2 2 2" xfId="10020"/>
    <cellStyle name="Обычный 4 2 3 9 2 2 3" xfId="10021"/>
    <cellStyle name="Обычный 4 2 3 9 2 3" xfId="10022"/>
    <cellStyle name="Обычный 4 2 3 9 2 4" xfId="10023"/>
    <cellStyle name="Обычный 4 2 3 9 3" xfId="10024"/>
    <cellStyle name="Обычный 4 2 3 9 3 2" xfId="10025"/>
    <cellStyle name="Обычный 4 2 3 9 3 3" xfId="10026"/>
    <cellStyle name="Обычный 4 2 3 9 4" xfId="10027"/>
    <cellStyle name="Обычный 4 2 3 9 5" xfId="10028"/>
    <cellStyle name="Обычный 4 2 3_1 ВАР. КП 1 293  +8пропорцЛара" xfId="10029"/>
    <cellStyle name="Обычный 4 2 4" xfId="10030"/>
    <cellStyle name="Обычный 4 2 4 10" xfId="10031"/>
    <cellStyle name="Обычный 4 2 4 2" xfId="10032"/>
    <cellStyle name="Обычный 4 2 4 2 2" xfId="10033"/>
    <cellStyle name="Обычный 4 2 4 2 2 2" xfId="10034"/>
    <cellStyle name="Обычный 4 2 4 2 2 2 2" xfId="10035"/>
    <cellStyle name="Обычный 4 2 4 2 2 2 3" xfId="10036"/>
    <cellStyle name="Обычный 4 2 4 2 2 3" xfId="10037"/>
    <cellStyle name="Обычный 4 2 4 2 2 4" xfId="10038"/>
    <cellStyle name="Обычный 4 2 4 2 3" xfId="10039"/>
    <cellStyle name="Обычный 4 2 4 2 3 2" xfId="10040"/>
    <cellStyle name="Обычный 4 2 4 2 3 3" xfId="10041"/>
    <cellStyle name="Обычный 4 2 4 2 4" xfId="10042"/>
    <cellStyle name="Обычный 4 2 4 2 5" xfId="10043"/>
    <cellStyle name="Обычный 4 2 4 3" xfId="10044"/>
    <cellStyle name="Обычный 4 2 4 3 2" xfId="10045"/>
    <cellStyle name="Обычный 4 2 4 3 2 2" xfId="10046"/>
    <cellStyle name="Обычный 4 2 4 3 2 2 2" xfId="10047"/>
    <cellStyle name="Обычный 4 2 4 3 2 2 3" xfId="10048"/>
    <cellStyle name="Обычный 4 2 4 3 2 3" xfId="10049"/>
    <cellStyle name="Обычный 4 2 4 3 2 4" xfId="10050"/>
    <cellStyle name="Обычный 4 2 4 3 3" xfId="10051"/>
    <cellStyle name="Обычный 4 2 4 3 3 2" xfId="10052"/>
    <cellStyle name="Обычный 4 2 4 3 3 3" xfId="10053"/>
    <cellStyle name="Обычный 4 2 4 3 4" xfId="10054"/>
    <cellStyle name="Обычный 4 2 4 3 5" xfId="10055"/>
    <cellStyle name="Обычный 4 2 4 4" xfId="10056"/>
    <cellStyle name="Обычный 4 2 4 4 2" xfId="10057"/>
    <cellStyle name="Обычный 4 2 4 4 2 2" xfId="10058"/>
    <cellStyle name="Обычный 4 2 4 4 2 2 2" xfId="10059"/>
    <cellStyle name="Обычный 4 2 4 4 2 2 3" xfId="10060"/>
    <cellStyle name="Обычный 4 2 4 4 2 3" xfId="10061"/>
    <cellStyle name="Обычный 4 2 4 4 2 4" xfId="10062"/>
    <cellStyle name="Обычный 4 2 4 4 3" xfId="10063"/>
    <cellStyle name="Обычный 4 2 4 4 3 2" xfId="10064"/>
    <cellStyle name="Обычный 4 2 4 4 3 3" xfId="10065"/>
    <cellStyle name="Обычный 4 2 4 4 4" xfId="10066"/>
    <cellStyle name="Обычный 4 2 4 4 5" xfId="10067"/>
    <cellStyle name="Обычный 4 2 4 5" xfId="10068"/>
    <cellStyle name="Обычный 4 2 4 5 2" xfId="10069"/>
    <cellStyle name="Обычный 4 2 4 5 2 2" xfId="10070"/>
    <cellStyle name="Обычный 4 2 4 5 2 2 2" xfId="10071"/>
    <cellStyle name="Обычный 4 2 4 5 2 2 3" xfId="10072"/>
    <cellStyle name="Обычный 4 2 4 5 2 3" xfId="10073"/>
    <cellStyle name="Обычный 4 2 4 5 2 4" xfId="10074"/>
    <cellStyle name="Обычный 4 2 4 5 3" xfId="10075"/>
    <cellStyle name="Обычный 4 2 4 5 3 2" xfId="10076"/>
    <cellStyle name="Обычный 4 2 4 5 3 3" xfId="10077"/>
    <cellStyle name="Обычный 4 2 4 5 4" xfId="10078"/>
    <cellStyle name="Обычный 4 2 4 5 5" xfId="10079"/>
    <cellStyle name="Обычный 4 2 4 6" xfId="10080"/>
    <cellStyle name="Обычный 4 2 4 6 2" xfId="10081"/>
    <cellStyle name="Обычный 4 2 4 6 2 2" xfId="10082"/>
    <cellStyle name="Обычный 4 2 4 6 2 2 2" xfId="10083"/>
    <cellStyle name="Обычный 4 2 4 6 2 2 3" xfId="10084"/>
    <cellStyle name="Обычный 4 2 4 6 2 3" xfId="10085"/>
    <cellStyle name="Обычный 4 2 4 6 2 4" xfId="10086"/>
    <cellStyle name="Обычный 4 2 4 6 3" xfId="10087"/>
    <cellStyle name="Обычный 4 2 4 6 3 2" xfId="10088"/>
    <cellStyle name="Обычный 4 2 4 6 3 3" xfId="10089"/>
    <cellStyle name="Обычный 4 2 4 6 4" xfId="10090"/>
    <cellStyle name="Обычный 4 2 4 6 5" xfId="10091"/>
    <cellStyle name="Обычный 4 2 4 7" xfId="10092"/>
    <cellStyle name="Обычный 4 2 4 7 2" xfId="10093"/>
    <cellStyle name="Обычный 4 2 4 7 2 2" xfId="10094"/>
    <cellStyle name="Обычный 4 2 4 7 2 3" xfId="10095"/>
    <cellStyle name="Обычный 4 2 4 7 3" xfId="10096"/>
    <cellStyle name="Обычный 4 2 4 7 4" xfId="10097"/>
    <cellStyle name="Обычный 4 2 4 8" xfId="10098"/>
    <cellStyle name="Обычный 4 2 4 8 2" xfId="10099"/>
    <cellStyle name="Обычный 4 2 4 8 3" xfId="10100"/>
    <cellStyle name="Обычный 4 2 4 9" xfId="10101"/>
    <cellStyle name="Обычный 4 2 4_Расчет  30 млн_Технополис  Коренькова" xfId="10102"/>
    <cellStyle name="Обычный 4 2 5" xfId="10103"/>
    <cellStyle name="Обычный 4 2 5 10" xfId="10104"/>
    <cellStyle name="Обычный 4 2 5 2" xfId="10105"/>
    <cellStyle name="Обычный 4 2 5 2 2" xfId="10106"/>
    <cellStyle name="Обычный 4 2 5 2 2 2" xfId="10107"/>
    <cellStyle name="Обычный 4 2 5 2 2 2 2" xfId="10108"/>
    <cellStyle name="Обычный 4 2 5 2 2 2 3" xfId="10109"/>
    <cellStyle name="Обычный 4 2 5 2 2 3" xfId="10110"/>
    <cellStyle name="Обычный 4 2 5 2 2 4" xfId="10111"/>
    <cellStyle name="Обычный 4 2 5 2 3" xfId="10112"/>
    <cellStyle name="Обычный 4 2 5 2 3 2" xfId="10113"/>
    <cellStyle name="Обычный 4 2 5 2 3 3" xfId="10114"/>
    <cellStyle name="Обычный 4 2 5 2 4" xfId="10115"/>
    <cellStyle name="Обычный 4 2 5 2 5" xfId="10116"/>
    <cellStyle name="Обычный 4 2 5 3" xfId="10117"/>
    <cellStyle name="Обычный 4 2 5 3 2" xfId="10118"/>
    <cellStyle name="Обычный 4 2 5 3 2 2" xfId="10119"/>
    <cellStyle name="Обычный 4 2 5 3 2 2 2" xfId="10120"/>
    <cellStyle name="Обычный 4 2 5 3 2 2 3" xfId="10121"/>
    <cellStyle name="Обычный 4 2 5 3 2 3" xfId="10122"/>
    <cellStyle name="Обычный 4 2 5 3 2 4" xfId="10123"/>
    <cellStyle name="Обычный 4 2 5 3 3" xfId="10124"/>
    <cellStyle name="Обычный 4 2 5 3 3 2" xfId="10125"/>
    <cellStyle name="Обычный 4 2 5 3 3 3" xfId="10126"/>
    <cellStyle name="Обычный 4 2 5 3 4" xfId="10127"/>
    <cellStyle name="Обычный 4 2 5 3 5" xfId="10128"/>
    <cellStyle name="Обычный 4 2 5 4" xfId="10129"/>
    <cellStyle name="Обычный 4 2 5 4 2" xfId="10130"/>
    <cellStyle name="Обычный 4 2 5 4 2 2" xfId="10131"/>
    <cellStyle name="Обычный 4 2 5 4 2 2 2" xfId="10132"/>
    <cellStyle name="Обычный 4 2 5 4 2 2 3" xfId="10133"/>
    <cellStyle name="Обычный 4 2 5 4 2 3" xfId="10134"/>
    <cellStyle name="Обычный 4 2 5 4 2 4" xfId="10135"/>
    <cellStyle name="Обычный 4 2 5 4 3" xfId="10136"/>
    <cellStyle name="Обычный 4 2 5 4 3 2" xfId="10137"/>
    <cellStyle name="Обычный 4 2 5 4 3 3" xfId="10138"/>
    <cellStyle name="Обычный 4 2 5 4 4" xfId="10139"/>
    <cellStyle name="Обычный 4 2 5 4 5" xfId="10140"/>
    <cellStyle name="Обычный 4 2 5 5" xfId="10141"/>
    <cellStyle name="Обычный 4 2 5 5 2" xfId="10142"/>
    <cellStyle name="Обычный 4 2 5 5 2 2" xfId="10143"/>
    <cellStyle name="Обычный 4 2 5 5 2 2 2" xfId="10144"/>
    <cellStyle name="Обычный 4 2 5 5 2 2 3" xfId="10145"/>
    <cellStyle name="Обычный 4 2 5 5 2 3" xfId="10146"/>
    <cellStyle name="Обычный 4 2 5 5 2 4" xfId="10147"/>
    <cellStyle name="Обычный 4 2 5 5 3" xfId="10148"/>
    <cellStyle name="Обычный 4 2 5 5 3 2" xfId="10149"/>
    <cellStyle name="Обычный 4 2 5 5 3 3" xfId="10150"/>
    <cellStyle name="Обычный 4 2 5 5 4" xfId="10151"/>
    <cellStyle name="Обычный 4 2 5 5 5" xfId="10152"/>
    <cellStyle name="Обычный 4 2 5 6" xfId="10153"/>
    <cellStyle name="Обычный 4 2 5 6 2" xfId="10154"/>
    <cellStyle name="Обычный 4 2 5 6 2 2" xfId="10155"/>
    <cellStyle name="Обычный 4 2 5 6 2 2 2" xfId="10156"/>
    <cellStyle name="Обычный 4 2 5 6 2 2 3" xfId="10157"/>
    <cellStyle name="Обычный 4 2 5 6 2 3" xfId="10158"/>
    <cellStyle name="Обычный 4 2 5 6 2 4" xfId="10159"/>
    <cellStyle name="Обычный 4 2 5 6 3" xfId="10160"/>
    <cellStyle name="Обычный 4 2 5 6 3 2" xfId="10161"/>
    <cellStyle name="Обычный 4 2 5 6 3 3" xfId="10162"/>
    <cellStyle name="Обычный 4 2 5 6 4" xfId="10163"/>
    <cellStyle name="Обычный 4 2 5 6 5" xfId="10164"/>
    <cellStyle name="Обычный 4 2 5 7" xfId="10165"/>
    <cellStyle name="Обычный 4 2 5 7 2" xfId="10166"/>
    <cellStyle name="Обычный 4 2 5 7 2 2" xfId="10167"/>
    <cellStyle name="Обычный 4 2 5 7 2 3" xfId="10168"/>
    <cellStyle name="Обычный 4 2 5 7 3" xfId="10169"/>
    <cellStyle name="Обычный 4 2 5 7 4" xfId="10170"/>
    <cellStyle name="Обычный 4 2 5 8" xfId="10171"/>
    <cellStyle name="Обычный 4 2 5 8 2" xfId="10172"/>
    <cellStyle name="Обычный 4 2 5 8 3" xfId="10173"/>
    <cellStyle name="Обычный 4 2 5 9" xfId="10174"/>
    <cellStyle name="Обычный 4 2 5_Расчет  30 млн_Технополис  Коренькова" xfId="10175"/>
    <cellStyle name="Обычный 4 2 6" xfId="10176"/>
    <cellStyle name="Обычный 4 2 6 10" xfId="10177"/>
    <cellStyle name="Обычный 4 2 6 2" xfId="10178"/>
    <cellStyle name="Обычный 4 2 6 2 2" xfId="10179"/>
    <cellStyle name="Обычный 4 2 6 2 2 2" xfId="10180"/>
    <cellStyle name="Обычный 4 2 6 2 2 2 2" xfId="10181"/>
    <cellStyle name="Обычный 4 2 6 2 2 2 3" xfId="10182"/>
    <cellStyle name="Обычный 4 2 6 2 2 3" xfId="10183"/>
    <cellStyle name="Обычный 4 2 6 2 2 4" xfId="10184"/>
    <cellStyle name="Обычный 4 2 6 2 3" xfId="10185"/>
    <cellStyle name="Обычный 4 2 6 2 3 2" xfId="10186"/>
    <cellStyle name="Обычный 4 2 6 2 3 3" xfId="10187"/>
    <cellStyle name="Обычный 4 2 6 2 4" xfId="10188"/>
    <cellStyle name="Обычный 4 2 6 2 5" xfId="10189"/>
    <cellStyle name="Обычный 4 2 6 3" xfId="10190"/>
    <cellStyle name="Обычный 4 2 6 3 2" xfId="10191"/>
    <cellStyle name="Обычный 4 2 6 3 2 2" xfId="10192"/>
    <cellStyle name="Обычный 4 2 6 3 2 2 2" xfId="10193"/>
    <cellStyle name="Обычный 4 2 6 3 2 2 3" xfId="10194"/>
    <cellStyle name="Обычный 4 2 6 3 2 3" xfId="10195"/>
    <cellStyle name="Обычный 4 2 6 3 2 4" xfId="10196"/>
    <cellStyle name="Обычный 4 2 6 3 3" xfId="10197"/>
    <cellStyle name="Обычный 4 2 6 3 3 2" xfId="10198"/>
    <cellStyle name="Обычный 4 2 6 3 3 3" xfId="10199"/>
    <cellStyle name="Обычный 4 2 6 3 4" xfId="10200"/>
    <cellStyle name="Обычный 4 2 6 3 5" xfId="10201"/>
    <cellStyle name="Обычный 4 2 6 4" xfId="10202"/>
    <cellStyle name="Обычный 4 2 6 4 2" xfId="10203"/>
    <cellStyle name="Обычный 4 2 6 4 2 2" xfId="10204"/>
    <cellStyle name="Обычный 4 2 6 4 2 2 2" xfId="10205"/>
    <cellStyle name="Обычный 4 2 6 4 2 2 3" xfId="10206"/>
    <cellStyle name="Обычный 4 2 6 4 2 3" xfId="10207"/>
    <cellStyle name="Обычный 4 2 6 4 2 4" xfId="10208"/>
    <cellStyle name="Обычный 4 2 6 4 3" xfId="10209"/>
    <cellStyle name="Обычный 4 2 6 4 3 2" xfId="10210"/>
    <cellStyle name="Обычный 4 2 6 4 3 3" xfId="10211"/>
    <cellStyle name="Обычный 4 2 6 4 4" xfId="10212"/>
    <cellStyle name="Обычный 4 2 6 4 5" xfId="10213"/>
    <cellStyle name="Обычный 4 2 6 5" xfId="10214"/>
    <cellStyle name="Обычный 4 2 6 5 2" xfId="10215"/>
    <cellStyle name="Обычный 4 2 6 5 2 2" xfId="10216"/>
    <cellStyle name="Обычный 4 2 6 5 2 2 2" xfId="10217"/>
    <cellStyle name="Обычный 4 2 6 5 2 2 3" xfId="10218"/>
    <cellStyle name="Обычный 4 2 6 5 2 3" xfId="10219"/>
    <cellStyle name="Обычный 4 2 6 5 2 4" xfId="10220"/>
    <cellStyle name="Обычный 4 2 6 5 3" xfId="10221"/>
    <cellStyle name="Обычный 4 2 6 5 3 2" xfId="10222"/>
    <cellStyle name="Обычный 4 2 6 5 3 3" xfId="10223"/>
    <cellStyle name="Обычный 4 2 6 5 4" xfId="10224"/>
    <cellStyle name="Обычный 4 2 6 5 5" xfId="10225"/>
    <cellStyle name="Обычный 4 2 6 6" xfId="10226"/>
    <cellStyle name="Обычный 4 2 6 6 2" xfId="10227"/>
    <cellStyle name="Обычный 4 2 6 6 2 2" xfId="10228"/>
    <cellStyle name="Обычный 4 2 6 6 2 2 2" xfId="10229"/>
    <cellStyle name="Обычный 4 2 6 6 2 2 3" xfId="10230"/>
    <cellStyle name="Обычный 4 2 6 6 2 3" xfId="10231"/>
    <cellStyle name="Обычный 4 2 6 6 2 4" xfId="10232"/>
    <cellStyle name="Обычный 4 2 6 6 3" xfId="10233"/>
    <cellStyle name="Обычный 4 2 6 6 3 2" xfId="10234"/>
    <cellStyle name="Обычный 4 2 6 6 3 3" xfId="10235"/>
    <cellStyle name="Обычный 4 2 6 6 4" xfId="10236"/>
    <cellStyle name="Обычный 4 2 6 6 5" xfId="10237"/>
    <cellStyle name="Обычный 4 2 6 7" xfId="10238"/>
    <cellStyle name="Обычный 4 2 6 7 2" xfId="10239"/>
    <cellStyle name="Обычный 4 2 6 7 2 2" xfId="10240"/>
    <cellStyle name="Обычный 4 2 6 7 2 3" xfId="10241"/>
    <cellStyle name="Обычный 4 2 6 7 3" xfId="10242"/>
    <cellStyle name="Обычный 4 2 6 7 4" xfId="10243"/>
    <cellStyle name="Обычный 4 2 6 8" xfId="10244"/>
    <cellStyle name="Обычный 4 2 6 8 2" xfId="10245"/>
    <cellStyle name="Обычный 4 2 6 8 3" xfId="10246"/>
    <cellStyle name="Обычный 4 2 6 9" xfId="10247"/>
    <cellStyle name="Обычный 4 2 6_Расчет  30 млн_Технополис  Коренькова" xfId="10248"/>
    <cellStyle name="Обычный 4 2 7" xfId="10249"/>
    <cellStyle name="Обычный 4 2 7 10" xfId="10250"/>
    <cellStyle name="Обычный 4 2 7 2" xfId="10251"/>
    <cellStyle name="Обычный 4 2 7 2 2" xfId="10252"/>
    <cellStyle name="Обычный 4 2 7 2 2 2" xfId="10253"/>
    <cellStyle name="Обычный 4 2 7 2 2 2 2" xfId="10254"/>
    <cellStyle name="Обычный 4 2 7 2 2 2 3" xfId="10255"/>
    <cellStyle name="Обычный 4 2 7 2 2 3" xfId="10256"/>
    <cellStyle name="Обычный 4 2 7 2 2 4" xfId="10257"/>
    <cellStyle name="Обычный 4 2 7 2 3" xfId="10258"/>
    <cellStyle name="Обычный 4 2 7 2 3 2" xfId="10259"/>
    <cellStyle name="Обычный 4 2 7 2 3 3" xfId="10260"/>
    <cellStyle name="Обычный 4 2 7 2 4" xfId="10261"/>
    <cellStyle name="Обычный 4 2 7 2 5" xfId="10262"/>
    <cellStyle name="Обычный 4 2 7 3" xfId="10263"/>
    <cellStyle name="Обычный 4 2 7 3 2" xfId="10264"/>
    <cellStyle name="Обычный 4 2 7 3 2 2" xfId="10265"/>
    <cellStyle name="Обычный 4 2 7 3 2 2 2" xfId="10266"/>
    <cellStyle name="Обычный 4 2 7 3 2 2 3" xfId="10267"/>
    <cellStyle name="Обычный 4 2 7 3 2 3" xfId="10268"/>
    <cellStyle name="Обычный 4 2 7 3 2 4" xfId="10269"/>
    <cellStyle name="Обычный 4 2 7 3 3" xfId="10270"/>
    <cellStyle name="Обычный 4 2 7 3 3 2" xfId="10271"/>
    <cellStyle name="Обычный 4 2 7 3 3 3" xfId="10272"/>
    <cellStyle name="Обычный 4 2 7 3 4" xfId="10273"/>
    <cellStyle name="Обычный 4 2 7 3 5" xfId="10274"/>
    <cellStyle name="Обычный 4 2 7 4" xfId="10275"/>
    <cellStyle name="Обычный 4 2 7 4 2" xfId="10276"/>
    <cellStyle name="Обычный 4 2 7 4 2 2" xfId="10277"/>
    <cellStyle name="Обычный 4 2 7 4 2 2 2" xfId="10278"/>
    <cellStyle name="Обычный 4 2 7 4 2 2 3" xfId="10279"/>
    <cellStyle name="Обычный 4 2 7 4 2 3" xfId="10280"/>
    <cellStyle name="Обычный 4 2 7 4 2 4" xfId="10281"/>
    <cellStyle name="Обычный 4 2 7 4 3" xfId="10282"/>
    <cellStyle name="Обычный 4 2 7 4 3 2" xfId="10283"/>
    <cellStyle name="Обычный 4 2 7 4 3 3" xfId="10284"/>
    <cellStyle name="Обычный 4 2 7 4 4" xfId="10285"/>
    <cellStyle name="Обычный 4 2 7 4 5" xfId="10286"/>
    <cellStyle name="Обычный 4 2 7 5" xfId="10287"/>
    <cellStyle name="Обычный 4 2 7 5 2" xfId="10288"/>
    <cellStyle name="Обычный 4 2 7 5 2 2" xfId="10289"/>
    <cellStyle name="Обычный 4 2 7 5 2 2 2" xfId="10290"/>
    <cellStyle name="Обычный 4 2 7 5 2 2 3" xfId="10291"/>
    <cellStyle name="Обычный 4 2 7 5 2 3" xfId="10292"/>
    <cellStyle name="Обычный 4 2 7 5 2 4" xfId="10293"/>
    <cellStyle name="Обычный 4 2 7 5 3" xfId="10294"/>
    <cellStyle name="Обычный 4 2 7 5 3 2" xfId="10295"/>
    <cellStyle name="Обычный 4 2 7 5 3 3" xfId="10296"/>
    <cellStyle name="Обычный 4 2 7 5 4" xfId="10297"/>
    <cellStyle name="Обычный 4 2 7 5 5" xfId="10298"/>
    <cellStyle name="Обычный 4 2 7 6" xfId="10299"/>
    <cellStyle name="Обычный 4 2 7 6 2" xfId="10300"/>
    <cellStyle name="Обычный 4 2 7 6 2 2" xfId="10301"/>
    <cellStyle name="Обычный 4 2 7 6 2 2 2" xfId="10302"/>
    <cellStyle name="Обычный 4 2 7 6 2 2 3" xfId="10303"/>
    <cellStyle name="Обычный 4 2 7 6 2 3" xfId="10304"/>
    <cellStyle name="Обычный 4 2 7 6 2 4" xfId="10305"/>
    <cellStyle name="Обычный 4 2 7 6 3" xfId="10306"/>
    <cellStyle name="Обычный 4 2 7 6 3 2" xfId="10307"/>
    <cellStyle name="Обычный 4 2 7 6 3 3" xfId="10308"/>
    <cellStyle name="Обычный 4 2 7 6 4" xfId="10309"/>
    <cellStyle name="Обычный 4 2 7 6 5" xfId="10310"/>
    <cellStyle name="Обычный 4 2 7 7" xfId="10311"/>
    <cellStyle name="Обычный 4 2 7 7 2" xfId="10312"/>
    <cellStyle name="Обычный 4 2 7 7 2 2" xfId="10313"/>
    <cellStyle name="Обычный 4 2 7 7 2 3" xfId="10314"/>
    <cellStyle name="Обычный 4 2 7 7 3" xfId="10315"/>
    <cellStyle name="Обычный 4 2 7 7 4" xfId="10316"/>
    <cellStyle name="Обычный 4 2 7 8" xfId="10317"/>
    <cellStyle name="Обычный 4 2 7 8 2" xfId="10318"/>
    <cellStyle name="Обычный 4 2 7 8 3" xfId="10319"/>
    <cellStyle name="Обычный 4 2 7 9" xfId="10320"/>
    <cellStyle name="Обычный 4 2 7_Расчет  30 млн_Технополис  Коренькова" xfId="10321"/>
    <cellStyle name="Обычный 4 2 8" xfId="10322"/>
    <cellStyle name="Обычный 4 2 8 10" xfId="10323"/>
    <cellStyle name="Обычный 4 2 8 2" xfId="10324"/>
    <cellStyle name="Обычный 4 2 8 2 2" xfId="10325"/>
    <cellStyle name="Обычный 4 2 8 2 2 2" xfId="10326"/>
    <cellStyle name="Обычный 4 2 8 2 2 2 2" xfId="10327"/>
    <cellStyle name="Обычный 4 2 8 2 2 2 3" xfId="10328"/>
    <cellStyle name="Обычный 4 2 8 2 2 3" xfId="10329"/>
    <cellStyle name="Обычный 4 2 8 2 2 4" xfId="10330"/>
    <cellStyle name="Обычный 4 2 8 2 3" xfId="10331"/>
    <cellStyle name="Обычный 4 2 8 2 3 2" xfId="10332"/>
    <cellStyle name="Обычный 4 2 8 2 3 3" xfId="10333"/>
    <cellStyle name="Обычный 4 2 8 2 4" xfId="10334"/>
    <cellStyle name="Обычный 4 2 8 2 5" xfId="10335"/>
    <cellStyle name="Обычный 4 2 8 3" xfId="10336"/>
    <cellStyle name="Обычный 4 2 8 3 2" xfId="10337"/>
    <cellStyle name="Обычный 4 2 8 3 2 2" xfId="10338"/>
    <cellStyle name="Обычный 4 2 8 3 2 2 2" xfId="10339"/>
    <cellStyle name="Обычный 4 2 8 3 2 2 3" xfId="10340"/>
    <cellStyle name="Обычный 4 2 8 3 2 3" xfId="10341"/>
    <cellStyle name="Обычный 4 2 8 3 2 4" xfId="10342"/>
    <cellStyle name="Обычный 4 2 8 3 3" xfId="10343"/>
    <cellStyle name="Обычный 4 2 8 3 3 2" xfId="10344"/>
    <cellStyle name="Обычный 4 2 8 3 3 3" xfId="10345"/>
    <cellStyle name="Обычный 4 2 8 3 4" xfId="10346"/>
    <cellStyle name="Обычный 4 2 8 3 5" xfId="10347"/>
    <cellStyle name="Обычный 4 2 8 4" xfId="10348"/>
    <cellStyle name="Обычный 4 2 8 4 2" xfId="10349"/>
    <cellStyle name="Обычный 4 2 8 4 2 2" xfId="10350"/>
    <cellStyle name="Обычный 4 2 8 4 2 2 2" xfId="10351"/>
    <cellStyle name="Обычный 4 2 8 4 2 2 3" xfId="10352"/>
    <cellStyle name="Обычный 4 2 8 4 2 3" xfId="10353"/>
    <cellStyle name="Обычный 4 2 8 4 2 4" xfId="10354"/>
    <cellStyle name="Обычный 4 2 8 4 3" xfId="10355"/>
    <cellStyle name="Обычный 4 2 8 4 3 2" xfId="10356"/>
    <cellStyle name="Обычный 4 2 8 4 3 3" xfId="10357"/>
    <cellStyle name="Обычный 4 2 8 4 4" xfId="10358"/>
    <cellStyle name="Обычный 4 2 8 4 5" xfId="10359"/>
    <cellStyle name="Обычный 4 2 8 5" xfId="10360"/>
    <cellStyle name="Обычный 4 2 8 5 2" xfId="10361"/>
    <cellStyle name="Обычный 4 2 8 5 2 2" xfId="10362"/>
    <cellStyle name="Обычный 4 2 8 5 2 2 2" xfId="10363"/>
    <cellStyle name="Обычный 4 2 8 5 2 2 3" xfId="10364"/>
    <cellStyle name="Обычный 4 2 8 5 2 3" xfId="10365"/>
    <cellStyle name="Обычный 4 2 8 5 2 4" xfId="10366"/>
    <cellStyle name="Обычный 4 2 8 5 3" xfId="10367"/>
    <cellStyle name="Обычный 4 2 8 5 3 2" xfId="10368"/>
    <cellStyle name="Обычный 4 2 8 5 3 3" xfId="10369"/>
    <cellStyle name="Обычный 4 2 8 5 4" xfId="10370"/>
    <cellStyle name="Обычный 4 2 8 5 5" xfId="10371"/>
    <cellStyle name="Обычный 4 2 8 6" xfId="10372"/>
    <cellStyle name="Обычный 4 2 8 6 2" xfId="10373"/>
    <cellStyle name="Обычный 4 2 8 6 2 2" xfId="10374"/>
    <cellStyle name="Обычный 4 2 8 6 2 2 2" xfId="10375"/>
    <cellStyle name="Обычный 4 2 8 6 2 2 3" xfId="10376"/>
    <cellStyle name="Обычный 4 2 8 6 2 3" xfId="10377"/>
    <cellStyle name="Обычный 4 2 8 6 2 4" xfId="10378"/>
    <cellStyle name="Обычный 4 2 8 6 3" xfId="10379"/>
    <cellStyle name="Обычный 4 2 8 6 3 2" xfId="10380"/>
    <cellStyle name="Обычный 4 2 8 6 3 3" xfId="10381"/>
    <cellStyle name="Обычный 4 2 8 6 4" xfId="10382"/>
    <cellStyle name="Обычный 4 2 8 6 5" xfId="10383"/>
    <cellStyle name="Обычный 4 2 8 7" xfId="10384"/>
    <cellStyle name="Обычный 4 2 8 7 2" xfId="10385"/>
    <cellStyle name="Обычный 4 2 8 7 2 2" xfId="10386"/>
    <cellStyle name="Обычный 4 2 8 7 2 3" xfId="10387"/>
    <cellStyle name="Обычный 4 2 8 7 3" xfId="10388"/>
    <cellStyle name="Обычный 4 2 8 7 4" xfId="10389"/>
    <cellStyle name="Обычный 4 2 8 8" xfId="10390"/>
    <cellStyle name="Обычный 4 2 8 8 2" xfId="10391"/>
    <cellStyle name="Обычный 4 2 8 8 3" xfId="10392"/>
    <cellStyle name="Обычный 4 2 8 9" xfId="10393"/>
    <cellStyle name="Обычный 4 2 8_Расчет  30 млн_Технополис  Коренькова" xfId="10394"/>
    <cellStyle name="Обычный 4 2 9" xfId="10395"/>
    <cellStyle name="Обычный 4 2 9 10" xfId="10396"/>
    <cellStyle name="Обычный 4 2 9 2" xfId="10397"/>
    <cellStyle name="Обычный 4 2 9 2 2" xfId="10398"/>
    <cellStyle name="Обычный 4 2 9 2 2 2" xfId="10399"/>
    <cellStyle name="Обычный 4 2 9 2 2 2 2" xfId="10400"/>
    <cellStyle name="Обычный 4 2 9 2 2 2 3" xfId="10401"/>
    <cellStyle name="Обычный 4 2 9 2 2 3" xfId="10402"/>
    <cellStyle name="Обычный 4 2 9 2 2 4" xfId="10403"/>
    <cellStyle name="Обычный 4 2 9 2 3" xfId="10404"/>
    <cellStyle name="Обычный 4 2 9 2 3 2" xfId="10405"/>
    <cellStyle name="Обычный 4 2 9 2 3 3" xfId="10406"/>
    <cellStyle name="Обычный 4 2 9 2 4" xfId="10407"/>
    <cellStyle name="Обычный 4 2 9 2 5" xfId="10408"/>
    <cellStyle name="Обычный 4 2 9 3" xfId="10409"/>
    <cellStyle name="Обычный 4 2 9 3 2" xfId="10410"/>
    <cellStyle name="Обычный 4 2 9 3 2 2" xfId="10411"/>
    <cellStyle name="Обычный 4 2 9 3 2 2 2" xfId="10412"/>
    <cellStyle name="Обычный 4 2 9 3 2 2 3" xfId="10413"/>
    <cellStyle name="Обычный 4 2 9 3 2 3" xfId="10414"/>
    <cellStyle name="Обычный 4 2 9 3 2 4" xfId="10415"/>
    <cellStyle name="Обычный 4 2 9 3 3" xfId="10416"/>
    <cellStyle name="Обычный 4 2 9 3 3 2" xfId="10417"/>
    <cellStyle name="Обычный 4 2 9 3 3 3" xfId="10418"/>
    <cellStyle name="Обычный 4 2 9 3 4" xfId="10419"/>
    <cellStyle name="Обычный 4 2 9 3 5" xfId="10420"/>
    <cellStyle name="Обычный 4 2 9 4" xfId="10421"/>
    <cellStyle name="Обычный 4 2 9 4 2" xfId="10422"/>
    <cellStyle name="Обычный 4 2 9 4 2 2" xfId="10423"/>
    <cellStyle name="Обычный 4 2 9 4 2 2 2" xfId="10424"/>
    <cellStyle name="Обычный 4 2 9 4 2 2 3" xfId="10425"/>
    <cellStyle name="Обычный 4 2 9 4 2 3" xfId="10426"/>
    <cellStyle name="Обычный 4 2 9 4 2 4" xfId="10427"/>
    <cellStyle name="Обычный 4 2 9 4 3" xfId="10428"/>
    <cellStyle name="Обычный 4 2 9 4 3 2" xfId="10429"/>
    <cellStyle name="Обычный 4 2 9 4 3 3" xfId="10430"/>
    <cellStyle name="Обычный 4 2 9 4 4" xfId="10431"/>
    <cellStyle name="Обычный 4 2 9 4 5" xfId="10432"/>
    <cellStyle name="Обычный 4 2 9 5" xfId="10433"/>
    <cellStyle name="Обычный 4 2 9 5 2" xfId="10434"/>
    <cellStyle name="Обычный 4 2 9 5 2 2" xfId="10435"/>
    <cellStyle name="Обычный 4 2 9 5 2 2 2" xfId="10436"/>
    <cellStyle name="Обычный 4 2 9 5 2 2 3" xfId="10437"/>
    <cellStyle name="Обычный 4 2 9 5 2 3" xfId="10438"/>
    <cellStyle name="Обычный 4 2 9 5 2 4" xfId="10439"/>
    <cellStyle name="Обычный 4 2 9 5 3" xfId="10440"/>
    <cellStyle name="Обычный 4 2 9 5 3 2" xfId="10441"/>
    <cellStyle name="Обычный 4 2 9 5 3 3" xfId="10442"/>
    <cellStyle name="Обычный 4 2 9 5 4" xfId="10443"/>
    <cellStyle name="Обычный 4 2 9 5 5" xfId="10444"/>
    <cellStyle name="Обычный 4 2 9 6" xfId="10445"/>
    <cellStyle name="Обычный 4 2 9 6 2" xfId="10446"/>
    <cellStyle name="Обычный 4 2 9 6 2 2" xfId="10447"/>
    <cellStyle name="Обычный 4 2 9 6 2 2 2" xfId="10448"/>
    <cellStyle name="Обычный 4 2 9 6 2 2 3" xfId="10449"/>
    <cellStyle name="Обычный 4 2 9 6 2 3" xfId="10450"/>
    <cellStyle name="Обычный 4 2 9 6 2 4" xfId="10451"/>
    <cellStyle name="Обычный 4 2 9 6 3" xfId="10452"/>
    <cellStyle name="Обычный 4 2 9 6 3 2" xfId="10453"/>
    <cellStyle name="Обычный 4 2 9 6 3 3" xfId="10454"/>
    <cellStyle name="Обычный 4 2 9 6 4" xfId="10455"/>
    <cellStyle name="Обычный 4 2 9 6 5" xfId="10456"/>
    <cellStyle name="Обычный 4 2 9 7" xfId="10457"/>
    <cellStyle name="Обычный 4 2 9 7 2" xfId="10458"/>
    <cellStyle name="Обычный 4 2 9 7 2 2" xfId="10459"/>
    <cellStyle name="Обычный 4 2 9 7 2 3" xfId="10460"/>
    <cellStyle name="Обычный 4 2 9 7 3" xfId="10461"/>
    <cellStyle name="Обычный 4 2 9 7 4" xfId="10462"/>
    <cellStyle name="Обычный 4 2 9 8" xfId="10463"/>
    <cellStyle name="Обычный 4 2 9 8 2" xfId="10464"/>
    <cellStyle name="Обычный 4 2 9 8 3" xfId="10465"/>
    <cellStyle name="Обычный 4 2 9 9" xfId="10466"/>
    <cellStyle name="Обычный 4 2 9_Расчет  30 млн_Технополис  Коренькова" xfId="10467"/>
    <cellStyle name="Обычный 4 2_1 ВАР. КП 1 293  +8пропорцЛара" xfId="10468"/>
    <cellStyle name="Обычный 4 3" xfId="10469"/>
    <cellStyle name="Обычный 4 3 10" xfId="10470"/>
    <cellStyle name="Обычный 4 3 10 2" xfId="10471"/>
    <cellStyle name="Обычный 4 3 10 2 2" xfId="10472"/>
    <cellStyle name="Обычный 4 3 10 2 2 2" xfId="10473"/>
    <cellStyle name="Обычный 4 3 10 2 2 3" xfId="10474"/>
    <cellStyle name="Обычный 4 3 10 2 3" xfId="10475"/>
    <cellStyle name="Обычный 4 3 10 2 4" xfId="10476"/>
    <cellStyle name="Обычный 4 3 10 3" xfId="10477"/>
    <cellStyle name="Обычный 4 3 10 3 2" xfId="10478"/>
    <cellStyle name="Обычный 4 3 10 3 3" xfId="10479"/>
    <cellStyle name="Обычный 4 3 10 4" xfId="10480"/>
    <cellStyle name="Обычный 4 3 10 5" xfId="10481"/>
    <cellStyle name="Обычный 4 3 11" xfId="10482"/>
    <cellStyle name="Обычный 4 3 11 2" xfId="10483"/>
    <cellStyle name="Обычный 4 3 11 2 2" xfId="10484"/>
    <cellStyle name="Обычный 4 3 11 2 2 2" xfId="10485"/>
    <cellStyle name="Обычный 4 3 11 2 2 3" xfId="10486"/>
    <cellStyle name="Обычный 4 3 11 2 3" xfId="10487"/>
    <cellStyle name="Обычный 4 3 11 2 4" xfId="10488"/>
    <cellStyle name="Обычный 4 3 11 3" xfId="10489"/>
    <cellStyle name="Обычный 4 3 11 3 2" xfId="10490"/>
    <cellStyle name="Обычный 4 3 11 3 3" xfId="10491"/>
    <cellStyle name="Обычный 4 3 11 4" xfId="10492"/>
    <cellStyle name="Обычный 4 3 11 5" xfId="10493"/>
    <cellStyle name="Обычный 4 3 12" xfId="10494"/>
    <cellStyle name="Обычный 4 3 12 2" xfId="10495"/>
    <cellStyle name="Обычный 4 3 12 2 2" xfId="10496"/>
    <cellStyle name="Обычный 4 3 12 2 2 2" xfId="10497"/>
    <cellStyle name="Обычный 4 3 12 2 2 3" xfId="10498"/>
    <cellStyle name="Обычный 4 3 12 2 3" xfId="10499"/>
    <cellStyle name="Обычный 4 3 12 2 4" xfId="10500"/>
    <cellStyle name="Обычный 4 3 12 3" xfId="10501"/>
    <cellStyle name="Обычный 4 3 12 3 2" xfId="10502"/>
    <cellStyle name="Обычный 4 3 12 3 3" xfId="10503"/>
    <cellStyle name="Обычный 4 3 12 4" xfId="10504"/>
    <cellStyle name="Обычный 4 3 12 5" xfId="10505"/>
    <cellStyle name="Обычный 4 3 13" xfId="10506"/>
    <cellStyle name="Обычный 4 3 13 2" xfId="10507"/>
    <cellStyle name="Обычный 4 3 13 2 2" xfId="10508"/>
    <cellStyle name="Обычный 4 3 13 2 2 2" xfId="10509"/>
    <cellStyle name="Обычный 4 3 13 2 2 3" xfId="10510"/>
    <cellStyle name="Обычный 4 3 13 2 3" xfId="10511"/>
    <cellStyle name="Обычный 4 3 13 2 4" xfId="10512"/>
    <cellStyle name="Обычный 4 3 13 3" xfId="10513"/>
    <cellStyle name="Обычный 4 3 13 3 2" xfId="10514"/>
    <cellStyle name="Обычный 4 3 13 3 3" xfId="10515"/>
    <cellStyle name="Обычный 4 3 13 4" xfId="10516"/>
    <cellStyle name="Обычный 4 3 13 5" xfId="10517"/>
    <cellStyle name="Обычный 4 3 14" xfId="10518"/>
    <cellStyle name="Обычный 4 3 14 2" xfId="10519"/>
    <cellStyle name="Обычный 4 3 14 2 2" xfId="10520"/>
    <cellStyle name="Обычный 4 3 14 2 3" xfId="10521"/>
    <cellStyle name="Обычный 4 3 14 3" xfId="10522"/>
    <cellStyle name="Обычный 4 3 14 4" xfId="10523"/>
    <cellStyle name="Обычный 4 3 15" xfId="10524"/>
    <cellStyle name="Обычный 4 3 15 2" xfId="10525"/>
    <cellStyle name="Обычный 4 3 15 3" xfId="10526"/>
    <cellStyle name="Обычный 4 3 16" xfId="10527"/>
    <cellStyle name="Обычный 4 3 17" xfId="10528"/>
    <cellStyle name="Обычный 4 3 2" xfId="10529"/>
    <cellStyle name="Обычный 4 3 2 10" xfId="10530"/>
    <cellStyle name="Обычный 4 3 2 10 2" xfId="10531"/>
    <cellStyle name="Обычный 4 3 2 10 2 2" xfId="10532"/>
    <cellStyle name="Обычный 4 3 2 10 2 3" xfId="10533"/>
    <cellStyle name="Обычный 4 3 2 10 3" xfId="10534"/>
    <cellStyle name="Обычный 4 3 2 10 4" xfId="10535"/>
    <cellStyle name="Обычный 4 3 2 11" xfId="10536"/>
    <cellStyle name="Обычный 4 3 2 11 2" xfId="10537"/>
    <cellStyle name="Обычный 4 3 2 11 3" xfId="10538"/>
    <cellStyle name="Обычный 4 3 2 12" xfId="10539"/>
    <cellStyle name="Обычный 4 3 2 13" xfId="10540"/>
    <cellStyle name="Обычный 4 3 2 2" xfId="10541"/>
    <cellStyle name="Обычный 4 3 2 2 10" xfId="10542"/>
    <cellStyle name="Обычный 4 3 2 2 2" xfId="10543"/>
    <cellStyle name="Обычный 4 3 2 2 2 2" xfId="10544"/>
    <cellStyle name="Обычный 4 3 2 2 2 2 2" xfId="10545"/>
    <cellStyle name="Обычный 4 3 2 2 2 2 2 2" xfId="10546"/>
    <cellStyle name="Обычный 4 3 2 2 2 2 2 3" xfId="10547"/>
    <cellStyle name="Обычный 4 3 2 2 2 2 3" xfId="10548"/>
    <cellStyle name="Обычный 4 3 2 2 2 2 4" xfId="10549"/>
    <cellStyle name="Обычный 4 3 2 2 2 3" xfId="10550"/>
    <cellStyle name="Обычный 4 3 2 2 2 3 2" xfId="10551"/>
    <cellStyle name="Обычный 4 3 2 2 2 3 3" xfId="10552"/>
    <cellStyle name="Обычный 4 3 2 2 2 4" xfId="10553"/>
    <cellStyle name="Обычный 4 3 2 2 2 5" xfId="10554"/>
    <cellStyle name="Обычный 4 3 2 2 3" xfId="10555"/>
    <cellStyle name="Обычный 4 3 2 2 3 2" xfId="10556"/>
    <cellStyle name="Обычный 4 3 2 2 3 2 2" xfId="10557"/>
    <cellStyle name="Обычный 4 3 2 2 3 2 2 2" xfId="10558"/>
    <cellStyle name="Обычный 4 3 2 2 3 2 2 3" xfId="10559"/>
    <cellStyle name="Обычный 4 3 2 2 3 2 3" xfId="10560"/>
    <cellStyle name="Обычный 4 3 2 2 3 2 4" xfId="10561"/>
    <cellStyle name="Обычный 4 3 2 2 3 3" xfId="10562"/>
    <cellStyle name="Обычный 4 3 2 2 3 3 2" xfId="10563"/>
    <cellStyle name="Обычный 4 3 2 2 3 3 3" xfId="10564"/>
    <cellStyle name="Обычный 4 3 2 2 3 4" xfId="10565"/>
    <cellStyle name="Обычный 4 3 2 2 3 5" xfId="10566"/>
    <cellStyle name="Обычный 4 3 2 2 4" xfId="10567"/>
    <cellStyle name="Обычный 4 3 2 2 4 2" xfId="10568"/>
    <cellStyle name="Обычный 4 3 2 2 4 2 2" xfId="10569"/>
    <cellStyle name="Обычный 4 3 2 2 4 2 2 2" xfId="10570"/>
    <cellStyle name="Обычный 4 3 2 2 4 2 2 3" xfId="10571"/>
    <cellStyle name="Обычный 4 3 2 2 4 2 3" xfId="10572"/>
    <cellStyle name="Обычный 4 3 2 2 4 2 4" xfId="10573"/>
    <cellStyle name="Обычный 4 3 2 2 4 3" xfId="10574"/>
    <cellStyle name="Обычный 4 3 2 2 4 3 2" xfId="10575"/>
    <cellStyle name="Обычный 4 3 2 2 4 3 3" xfId="10576"/>
    <cellStyle name="Обычный 4 3 2 2 4 4" xfId="10577"/>
    <cellStyle name="Обычный 4 3 2 2 4 5" xfId="10578"/>
    <cellStyle name="Обычный 4 3 2 2 5" xfId="10579"/>
    <cellStyle name="Обычный 4 3 2 2 5 2" xfId="10580"/>
    <cellStyle name="Обычный 4 3 2 2 5 2 2" xfId="10581"/>
    <cellStyle name="Обычный 4 3 2 2 5 2 2 2" xfId="10582"/>
    <cellStyle name="Обычный 4 3 2 2 5 2 2 3" xfId="10583"/>
    <cellStyle name="Обычный 4 3 2 2 5 2 3" xfId="10584"/>
    <cellStyle name="Обычный 4 3 2 2 5 2 4" xfId="10585"/>
    <cellStyle name="Обычный 4 3 2 2 5 3" xfId="10586"/>
    <cellStyle name="Обычный 4 3 2 2 5 3 2" xfId="10587"/>
    <cellStyle name="Обычный 4 3 2 2 5 3 3" xfId="10588"/>
    <cellStyle name="Обычный 4 3 2 2 5 4" xfId="10589"/>
    <cellStyle name="Обычный 4 3 2 2 5 5" xfId="10590"/>
    <cellStyle name="Обычный 4 3 2 2 6" xfId="10591"/>
    <cellStyle name="Обычный 4 3 2 2 6 2" xfId="10592"/>
    <cellStyle name="Обычный 4 3 2 2 6 2 2" xfId="10593"/>
    <cellStyle name="Обычный 4 3 2 2 6 2 2 2" xfId="10594"/>
    <cellStyle name="Обычный 4 3 2 2 6 2 2 3" xfId="10595"/>
    <cellStyle name="Обычный 4 3 2 2 6 2 3" xfId="10596"/>
    <cellStyle name="Обычный 4 3 2 2 6 2 4" xfId="10597"/>
    <cellStyle name="Обычный 4 3 2 2 6 3" xfId="10598"/>
    <cellStyle name="Обычный 4 3 2 2 6 3 2" xfId="10599"/>
    <cellStyle name="Обычный 4 3 2 2 6 3 3" xfId="10600"/>
    <cellStyle name="Обычный 4 3 2 2 6 4" xfId="10601"/>
    <cellStyle name="Обычный 4 3 2 2 6 5" xfId="10602"/>
    <cellStyle name="Обычный 4 3 2 2 7" xfId="10603"/>
    <cellStyle name="Обычный 4 3 2 2 7 2" xfId="10604"/>
    <cellStyle name="Обычный 4 3 2 2 7 2 2" xfId="10605"/>
    <cellStyle name="Обычный 4 3 2 2 7 2 3" xfId="10606"/>
    <cellStyle name="Обычный 4 3 2 2 7 3" xfId="10607"/>
    <cellStyle name="Обычный 4 3 2 2 7 4" xfId="10608"/>
    <cellStyle name="Обычный 4 3 2 2 8" xfId="10609"/>
    <cellStyle name="Обычный 4 3 2 2 8 2" xfId="10610"/>
    <cellStyle name="Обычный 4 3 2 2 8 3" xfId="10611"/>
    <cellStyle name="Обычный 4 3 2 2 9" xfId="10612"/>
    <cellStyle name="Обычный 4 3 2 2_Расчет  30 млн_Технополис  Коренькова" xfId="10613"/>
    <cellStyle name="Обычный 4 3 2 3" xfId="10614"/>
    <cellStyle name="Обычный 4 3 2 3 10" xfId="10615"/>
    <cellStyle name="Обычный 4 3 2 3 2" xfId="10616"/>
    <cellStyle name="Обычный 4 3 2 3 2 2" xfId="10617"/>
    <cellStyle name="Обычный 4 3 2 3 2 2 2" xfId="10618"/>
    <cellStyle name="Обычный 4 3 2 3 2 2 2 2" xfId="10619"/>
    <cellStyle name="Обычный 4 3 2 3 2 2 2 3" xfId="10620"/>
    <cellStyle name="Обычный 4 3 2 3 2 2 3" xfId="10621"/>
    <cellStyle name="Обычный 4 3 2 3 2 2 4" xfId="10622"/>
    <cellStyle name="Обычный 4 3 2 3 2 3" xfId="10623"/>
    <cellStyle name="Обычный 4 3 2 3 2 3 2" xfId="10624"/>
    <cellStyle name="Обычный 4 3 2 3 2 3 3" xfId="10625"/>
    <cellStyle name="Обычный 4 3 2 3 2 4" xfId="10626"/>
    <cellStyle name="Обычный 4 3 2 3 2 5" xfId="10627"/>
    <cellStyle name="Обычный 4 3 2 3 3" xfId="10628"/>
    <cellStyle name="Обычный 4 3 2 3 3 2" xfId="10629"/>
    <cellStyle name="Обычный 4 3 2 3 3 2 2" xfId="10630"/>
    <cellStyle name="Обычный 4 3 2 3 3 2 2 2" xfId="10631"/>
    <cellStyle name="Обычный 4 3 2 3 3 2 2 3" xfId="10632"/>
    <cellStyle name="Обычный 4 3 2 3 3 2 3" xfId="10633"/>
    <cellStyle name="Обычный 4 3 2 3 3 2 4" xfId="10634"/>
    <cellStyle name="Обычный 4 3 2 3 3 3" xfId="10635"/>
    <cellStyle name="Обычный 4 3 2 3 3 3 2" xfId="10636"/>
    <cellStyle name="Обычный 4 3 2 3 3 3 3" xfId="10637"/>
    <cellStyle name="Обычный 4 3 2 3 3 4" xfId="10638"/>
    <cellStyle name="Обычный 4 3 2 3 3 5" xfId="10639"/>
    <cellStyle name="Обычный 4 3 2 3 4" xfId="10640"/>
    <cellStyle name="Обычный 4 3 2 3 4 2" xfId="10641"/>
    <cellStyle name="Обычный 4 3 2 3 4 2 2" xfId="10642"/>
    <cellStyle name="Обычный 4 3 2 3 4 2 2 2" xfId="10643"/>
    <cellStyle name="Обычный 4 3 2 3 4 2 2 3" xfId="10644"/>
    <cellStyle name="Обычный 4 3 2 3 4 2 3" xfId="10645"/>
    <cellStyle name="Обычный 4 3 2 3 4 2 4" xfId="10646"/>
    <cellStyle name="Обычный 4 3 2 3 4 3" xfId="10647"/>
    <cellStyle name="Обычный 4 3 2 3 4 3 2" xfId="10648"/>
    <cellStyle name="Обычный 4 3 2 3 4 3 3" xfId="10649"/>
    <cellStyle name="Обычный 4 3 2 3 4 4" xfId="10650"/>
    <cellStyle name="Обычный 4 3 2 3 4 5" xfId="10651"/>
    <cellStyle name="Обычный 4 3 2 3 5" xfId="10652"/>
    <cellStyle name="Обычный 4 3 2 3 5 2" xfId="10653"/>
    <cellStyle name="Обычный 4 3 2 3 5 2 2" xfId="10654"/>
    <cellStyle name="Обычный 4 3 2 3 5 2 2 2" xfId="10655"/>
    <cellStyle name="Обычный 4 3 2 3 5 2 2 3" xfId="10656"/>
    <cellStyle name="Обычный 4 3 2 3 5 2 3" xfId="10657"/>
    <cellStyle name="Обычный 4 3 2 3 5 2 4" xfId="10658"/>
    <cellStyle name="Обычный 4 3 2 3 5 3" xfId="10659"/>
    <cellStyle name="Обычный 4 3 2 3 5 3 2" xfId="10660"/>
    <cellStyle name="Обычный 4 3 2 3 5 3 3" xfId="10661"/>
    <cellStyle name="Обычный 4 3 2 3 5 4" xfId="10662"/>
    <cellStyle name="Обычный 4 3 2 3 5 5" xfId="10663"/>
    <cellStyle name="Обычный 4 3 2 3 6" xfId="10664"/>
    <cellStyle name="Обычный 4 3 2 3 6 2" xfId="10665"/>
    <cellStyle name="Обычный 4 3 2 3 6 2 2" xfId="10666"/>
    <cellStyle name="Обычный 4 3 2 3 6 2 2 2" xfId="10667"/>
    <cellStyle name="Обычный 4 3 2 3 6 2 2 3" xfId="10668"/>
    <cellStyle name="Обычный 4 3 2 3 6 2 3" xfId="10669"/>
    <cellStyle name="Обычный 4 3 2 3 6 2 4" xfId="10670"/>
    <cellStyle name="Обычный 4 3 2 3 6 3" xfId="10671"/>
    <cellStyle name="Обычный 4 3 2 3 6 3 2" xfId="10672"/>
    <cellStyle name="Обычный 4 3 2 3 6 3 3" xfId="10673"/>
    <cellStyle name="Обычный 4 3 2 3 6 4" xfId="10674"/>
    <cellStyle name="Обычный 4 3 2 3 6 5" xfId="10675"/>
    <cellStyle name="Обычный 4 3 2 3 7" xfId="10676"/>
    <cellStyle name="Обычный 4 3 2 3 7 2" xfId="10677"/>
    <cellStyle name="Обычный 4 3 2 3 7 2 2" xfId="10678"/>
    <cellStyle name="Обычный 4 3 2 3 7 2 3" xfId="10679"/>
    <cellStyle name="Обычный 4 3 2 3 7 3" xfId="10680"/>
    <cellStyle name="Обычный 4 3 2 3 7 4" xfId="10681"/>
    <cellStyle name="Обычный 4 3 2 3 8" xfId="10682"/>
    <cellStyle name="Обычный 4 3 2 3 8 2" xfId="10683"/>
    <cellStyle name="Обычный 4 3 2 3 8 3" xfId="10684"/>
    <cellStyle name="Обычный 4 3 2 3 9" xfId="10685"/>
    <cellStyle name="Обычный 4 3 2 3_Расчет  30 млн_Технополис  Коренькова" xfId="10686"/>
    <cellStyle name="Обычный 4 3 2 4" xfId="10687"/>
    <cellStyle name="Обычный 4 3 2 4 10" xfId="10688"/>
    <cellStyle name="Обычный 4 3 2 4 2" xfId="10689"/>
    <cellStyle name="Обычный 4 3 2 4 2 2" xfId="10690"/>
    <cellStyle name="Обычный 4 3 2 4 2 2 2" xfId="10691"/>
    <cellStyle name="Обычный 4 3 2 4 2 3" xfId="10692"/>
    <cellStyle name="Обычный 4 3 2 4 3" xfId="10693"/>
    <cellStyle name="Обычный 4 3 2 4 3 2" xfId="10694"/>
    <cellStyle name="Обычный 4 3 2 4 3 2 2" xfId="10695"/>
    <cellStyle name="Обычный 4 3 2 4 3 2 2 2" xfId="10696"/>
    <cellStyle name="Обычный 4 3 2 4 3 2 2 3" xfId="10697"/>
    <cellStyle name="Обычный 4 3 2 4 3 2 3" xfId="10698"/>
    <cellStyle name="Обычный 4 3 2 4 3 2 4" xfId="10699"/>
    <cellStyle name="Обычный 4 3 2 4 3 3" xfId="10700"/>
    <cellStyle name="Обычный 4 3 2 4 3 3 2" xfId="10701"/>
    <cellStyle name="Обычный 4 3 2 4 3 3 3" xfId="10702"/>
    <cellStyle name="Обычный 4 3 2 4 3 4" xfId="10703"/>
    <cellStyle name="Обычный 4 3 2 4 3 5" xfId="10704"/>
    <cellStyle name="Обычный 4 3 2 4 4" xfId="10705"/>
    <cellStyle name="Обычный 4 3 2 4 4 2" xfId="10706"/>
    <cellStyle name="Обычный 4 3 2 4 4 2 2" xfId="10707"/>
    <cellStyle name="Обычный 4 3 2 4 4 2 2 2" xfId="10708"/>
    <cellStyle name="Обычный 4 3 2 4 4 2 2 3" xfId="10709"/>
    <cellStyle name="Обычный 4 3 2 4 4 2 3" xfId="10710"/>
    <cellStyle name="Обычный 4 3 2 4 4 2 4" xfId="10711"/>
    <cellStyle name="Обычный 4 3 2 4 4 3" xfId="10712"/>
    <cellStyle name="Обычный 4 3 2 4 4 3 2" xfId="10713"/>
    <cellStyle name="Обычный 4 3 2 4 4 3 3" xfId="10714"/>
    <cellStyle name="Обычный 4 3 2 4 4 4" xfId="10715"/>
    <cellStyle name="Обычный 4 3 2 4 4 5" xfId="10716"/>
    <cellStyle name="Обычный 4 3 2 4 5" xfId="10717"/>
    <cellStyle name="Обычный 4 3 2 4 5 2" xfId="10718"/>
    <cellStyle name="Обычный 4 3 2 4 5 2 2" xfId="10719"/>
    <cellStyle name="Обычный 4 3 2 4 5 2 2 2" xfId="10720"/>
    <cellStyle name="Обычный 4 3 2 4 5 2 2 3" xfId="10721"/>
    <cellStyle name="Обычный 4 3 2 4 5 2 3" xfId="10722"/>
    <cellStyle name="Обычный 4 3 2 4 5 2 4" xfId="10723"/>
    <cellStyle name="Обычный 4 3 2 4 5 3" xfId="10724"/>
    <cellStyle name="Обычный 4 3 2 4 5 3 2" xfId="10725"/>
    <cellStyle name="Обычный 4 3 2 4 5 3 3" xfId="10726"/>
    <cellStyle name="Обычный 4 3 2 4 5 4" xfId="10727"/>
    <cellStyle name="Обычный 4 3 2 4 5 5" xfId="10728"/>
    <cellStyle name="Обычный 4 3 2 4 6" xfId="10729"/>
    <cellStyle name="Обычный 4 3 2 4 6 2" xfId="10730"/>
    <cellStyle name="Обычный 4 3 2 4 6 2 2" xfId="10731"/>
    <cellStyle name="Обычный 4 3 2 4 6 2 2 2" xfId="10732"/>
    <cellStyle name="Обычный 4 3 2 4 6 2 2 3" xfId="10733"/>
    <cellStyle name="Обычный 4 3 2 4 6 2 3" xfId="10734"/>
    <cellStyle name="Обычный 4 3 2 4 6 2 4" xfId="10735"/>
    <cellStyle name="Обычный 4 3 2 4 6 3" xfId="10736"/>
    <cellStyle name="Обычный 4 3 2 4 6 3 2" xfId="10737"/>
    <cellStyle name="Обычный 4 3 2 4 6 3 3" xfId="10738"/>
    <cellStyle name="Обычный 4 3 2 4 6 4" xfId="10739"/>
    <cellStyle name="Обычный 4 3 2 4 6 5" xfId="10740"/>
    <cellStyle name="Обычный 4 3 2 4 7" xfId="10741"/>
    <cellStyle name="Обычный 4 3 2 4 7 2" xfId="10742"/>
    <cellStyle name="Обычный 4 3 2 4 7 2 2" xfId="10743"/>
    <cellStyle name="Обычный 4 3 2 4 7 2 3" xfId="10744"/>
    <cellStyle name="Обычный 4 3 2 4 7 3" xfId="10745"/>
    <cellStyle name="Обычный 4 3 2 4 7 4" xfId="10746"/>
    <cellStyle name="Обычный 4 3 2 4 8" xfId="10747"/>
    <cellStyle name="Обычный 4 3 2 4 8 2" xfId="10748"/>
    <cellStyle name="Обычный 4 3 2 4 8 3" xfId="10749"/>
    <cellStyle name="Обычный 4 3 2 4 9" xfId="10750"/>
    <cellStyle name="Обычный 4 3 2 4_Расчет  30 млн_Технополис  Коренькова" xfId="10751"/>
    <cellStyle name="Обычный 4 3 2 5" xfId="10752"/>
    <cellStyle name="Обычный 4 3 2 5 2" xfId="10753"/>
    <cellStyle name="Обычный 4 3 2 5 2 2" xfId="10754"/>
    <cellStyle name="Обычный 4 3 2 5 2 2 2" xfId="10755"/>
    <cellStyle name="Обычный 4 3 2 5 2 2 3" xfId="10756"/>
    <cellStyle name="Обычный 4 3 2 5 2 3" xfId="10757"/>
    <cellStyle name="Обычный 4 3 2 5 2 4" xfId="10758"/>
    <cellStyle name="Обычный 4 3 2 5 3" xfId="10759"/>
    <cellStyle name="Обычный 4 3 2 5 3 2" xfId="10760"/>
    <cellStyle name="Обычный 4 3 2 5 3 3" xfId="10761"/>
    <cellStyle name="Обычный 4 3 2 5 4" xfId="10762"/>
    <cellStyle name="Обычный 4 3 2 5 5" xfId="10763"/>
    <cellStyle name="Обычный 4 3 2 6" xfId="10764"/>
    <cellStyle name="Обычный 4 3 2 6 2" xfId="10765"/>
    <cellStyle name="Обычный 4 3 2 6 2 2" xfId="10766"/>
    <cellStyle name="Обычный 4 3 2 6 2 2 2" xfId="10767"/>
    <cellStyle name="Обычный 4 3 2 6 2 2 3" xfId="10768"/>
    <cellStyle name="Обычный 4 3 2 6 2 3" xfId="10769"/>
    <cellStyle name="Обычный 4 3 2 6 2 4" xfId="10770"/>
    <cellStyle name="Обычный 4 3 2 6 3" xfId="10771"/>
    <cellStyle name="Обычный 4 3 2 6 3 2" xfId="10772"/>
    <cellStyle name="Обычный 4 3 2 6 3 3" xfId="10773"/>
    <cellStyle name="Обычный 4 3 2 6 4" xfId="10774"/>
    <cellStyle name="Обычный 4 3 2 6 5" xfId="10775"/>
    <cellStyle name="Обычный 4 3 2 7" xfId="10776"/>
    <cellStyle name="Обычный 4 3 2 7 2" xfId="10777"/>
    <cellStyle name="Обычный 4 3 2 7 2 2" xfId="10778"/>
    <cellStyle name="Обычный 4 3 2 7 2 2 2" xfId="10779"/>
    <cellStyle name="Обычный 4 3 2 7 2 2 3" xfId="10780"/>
    <cellStyle name="Обычный 4 3 2 7 2 3" xfId="10781"/>
    <cellStyle name="Обычный 4 3 2 7 2 4" xfId="10782"/>
    <cellStyle name="Обычный 4 3 2 7 3" xfId="10783"/>
    <cellStyle name="Обычный 4 3 2 7 3 2" xfId="10784"/>
    <cellStyle name="Обычный 4 3 2 7 3 3" xfId="10785"/>
    <cellStyle name="Обычный 4 3 2 7 4" xfId="10786"/>
    <cellStyle name="Обычный 4 3 2 7 5" xfId="10787"/>
    <cellStyle name="Обычный 4 3 2 8" xfId="10788"/>
    <cellStyle name="Обычный 4 3 2 8 2" xfId="10789"/>
    <cellStyle name="Обычный 4 3 2 8 2 2" xfId="10790"/>
    <cellStyle name="Обычный 4 3 2 8 2 2 2" xfId="10791"/>
    <cellStyle name="Обычный 4 3 2 8 2 2 3" xfId="10792"/>
    <cellStyle name="Обычный 4 3 2 8 2 3" xfId="10793"/>
    <cellStyle name="Обычный 4 3 2 8 2 4" xfId="10794"/>
    <cellStyle name="Обычный 4 3 2 8 3" xfId="10795"/>
    <cellStyle name="Обычный 4 3 2 8 3 2" xfId="10796"/>
    <cellStyle name="Обычный 4 3 2 8 3 3" xfId="10797"/>
    <cellStyle name="Обычный 4 3 2 8 4" xfId="10798"/>
    <cellStyle name="Обычный 4 3 2 8 5" xfId="10799"/>
    <cellStyle name="Обычный 4 3 2 9" xfId="10800"/>
    <cellStyle name="Обычный 4 3 2 9 2" xfId="10801"/>
    <cellStyle name="Обычный 4 3 2 9 2 2" xfId="10802"/>
    <cellStyle name="Обычный 4 3 2 9 2 2 2" xfId="10803"/>
    <cellStyle name="Обычный 4 3 2 9 2 2 3" xfId="10804"/>
    <cellStyle name="Обычный 4 3 2 9 2 3" xfId="10805"/>
    <cellStyle name="Обычный 4 3 2 9 2 4" xfId="10806"/>
    <cellStyle name="Обычный 4 3 2 9 3" xfId="10807"/>
    <cellStyle name="Обычный 4 3 2 9 3 2" xfId="10808"/>
    <cellStyle name="Обычный 4 3 2 9 3 3" xfId="10809"/>
    <cellStyle name="Обычный 4 3 2 9 4" xfId="10810"/>
    <cellStyle name="Обычный 4 3 2 9 5" xfId="10811"/>
    <cellStyle name="Обычный 4 3 2_1 ВАР. КП 1 293  +8пропорцЛара" xfId="10812"/>
    <cellStyle name="Обычный 4 3 3" xfId="10813"/>
    <cellStyle name="Обычный 4 3 3 10" xfId="10814"/>
    <cellStyle name="Обычный 4 3 3 10 2" xfId="10815"/>
    <cellStyle name="Обычный 4 3 3 10 2 2" xfId="10816"/>
    <cellStyle name="Обычный 4 3 3 10 2 3" xfId="10817"/>
    <cellStyle name="Обычный 4 3 3 10 3" xfId="10818"/>
    <cellStyle name="Обычный 4 3 3 10 4" xfId="10819"/>
    <cellStyle name="Обычный 4 3 3 11" xfId="10820"/>
    <cellStyle name="Обычный 4 3 3 11 2" xfId="10821"/>
    <cellStyle name="Обычный 4 3 3 11 3" xfId="10822"/>
    <cellStyle name="Обычный 4 3 3 12" xfId="10823"/>
    <cellStyle name="Обычный 4 3 3 13" xfId="10824"/>
    <cellStyle name="Обычный 4 3 3 2" xfId="10825"/>
    <cellStyle name="Обычный 4 3 3 2 10" xfId="10826"/>
    <cellStyle name="Обычный 4 3 3 2 2" xfId="10827"/>
    <cellStyle name="Обычный 4 3 3 2 2 2" xfId="10828"/>
    <cellStyle name="Обычный 4 3 3 2 2 2 2" xfId="10829"/>
    <cellStyle name="Обычный 4 3 3 2 2 2 2 2" xfId="10830"/>
    <cellStyle name="Обычный 4 3 3 2 2 2 2 3" xfId="10831"/>
    <cellStyle name="Обычный 4 3 3 2 2 2 3" xfId="10832"/>
    <cellStyle name="Обычный 4 3 3 2 2 2 4" xfId="10833"/>
    <cellStyle name="Обычный 4 3 3 2 2 3" xfId="10834"/>
    <cellStyle name="Обычный 4 3 3 2 2 3 2" xfId="10835"/>
    <cellStyle name="Обычный 4 3 3 2 2 3 3" xfId="10836"/>
    <cellStyle name="Обычный 4 3 3 2 2 4" xfId="10837"/>
    <cellStyle name="Обычный 4 3 3 2 2 5" xfId="10838"/>
    <cellStyle name="Обычный 4 3 3 2 3" xfId="10839"/>
    <cellStyle name="Обычный 4 3 3 2 3 2" xfId="10840"/>
    <cellStyle name="Обычный 4 3 3 2 3 2 2" xfId="10841"/>
    <cellStyle name="Обычный 4 3 3 2 3 2 2 2" xfId="10842"/>
    <cellStyle name="Обычный 4 3 3 2 3 2 2 3" xfId="10843"/>
    <cellStyle name="Обычный 4 3 3 2 3 2 3" xfId="10844"/>
    <cellStyle name="Обычный 4 3 3 2 3 2 4" xfId="10845"/>
    <cellStyle name="Обычный 4 3 3 2 3 3" xfId="10846"/>
    <cellStyle name="Обычный 4 3 3 2 3 3 2" xfId="10847"/>
    <cellStyle name="Обычный 4 3 3 2 3 3 3" xfId="10848"/>
    <cellStyle name="Обычный 4 3 3 2 3 4" xfId="10849"/>
    <cellStyle name="Обычный 4 3 3 2 3 5" xfId="10850"/>
    <cellStyle name="Обычный 4 3 3 2 4" xfId="10851"/>
    <cellStyle name="Обычный 4 3 3 2 4 2" xfId="10852"/>
    <cellStyle name="Обычный 4 3 3 2 4 2 2" xfId="10853"/>
    <cellStyle name="Обычный 4 3 3 2 4 2 2 2" xfId="10854"/>
    <cellStyle name="Обычный 4 3 3 2 4 2 2 3" xfId="10855"/>
    <cellStyle name="Обычный 4 3 3 2 4 2 3" xfId="10856"/>
    <cellStyle name="Обычный 4 3 3 2 4 2 4" xfId="10857"/>
    <cellStyle name="Обычный 4 3 3 2 4 3" xfId="10858"/>
    <cellStyle name="Обычный 4 3 3 2 4 3 2" xfId="10859"/>
    <cellStyle name="Обычный 4 3 3 2 4 3 3" xfId="10860"/>
    <cellStyle name="Обычный 4 3 3 2 4 4" xfId="10861"/>
    <cellStyle name="Обычный 4 3 3 2 4 5" xfId="10862"/>
    <cellStyle name="Обычный 4 3 3 2 5" xfId="10863"/>
    <cellStyle name="Обычный 4 3 3 2 5 2" xfId="10864"/>
    <cellStyle name="Обычный 4 3 3 2 5 2 2" xfId="10865"/>
    <cellStyle name="Обычный 4 3 3 2 5 2 2 2" xfId="10866"/>
    <cellStyle name="Обычный 4 3 3 2 5 2 2 3" xfId="10867"/>
    <cellStyle name="Обычный 4 3 3 2 5 2 3" xfId="10868"/>
    <cellStyle name="Обычный 4 3 3 2 5 2 4" xfId="10869"/>
    <cellStyle name="Обычный 4 3 3 2 5 3" xfId="10870"/>
    <cellStyle name="Обычный 4 3 3 2 5 3 2" xfId="10871"/>
    <cellStyle name="Обычный 4 3 3 2 5 3 3" xfId="10872"/>
    <cellStyle name="Обычный 4 3 3 2 5 4" xfId="10873"/>
    <cellStyle name="Обычный 4 3 3 2 5 5" xfId="10874"/>
    <cellStyle name="Обычный 4 3 3 2 6" xfId="10875"/>
    <cellStyle name="Обычный 4 3 3 2 6 2" xfId="10876"/>
    <cellStyle name="Обычный 4 3 3 2 6 2 2" xfId="10877"/>
    <cellStyle name="Обычный 4 3 3 2 6 2 2 2" xfId="10878"/>
    <cellStyle name="Обычный 4 3 3 2 6 2 2 3" xfId="10879"/>
    <cellStyle name="Обычный 4 3 3 2 6 2 3" xfId="10880"/>
    <cellStyle name="Обычный 4 3 3 2 6 2 4" xfId="10881"/>
    <cellStyle name="Обычный 4 3 3 2 6 3" xfId="10882"/>
    <cellStyle name="Обычный 4 3 3 2 6 3 2" xfId="10883"/>
    <cellStyle name="Обычный 4 3 3 2 6 3 3" xfId="10884"/>
    <cellStyle name="Обычный 4 3 3 2 6 4" xfId="10885"/>
    <cellStyle name="Обычный 4 3 3 2 6 5" xfId="10886"/>
    <cellStyle name="Обычный 4 3 3 2 7" xfId="10887"/>
    <cellStyle name="Обычный 4 3 3 2 7 2" xfId="10888"/>
    <cellStyle name="Обычный 4 3 3 2 7 2 2" xfId="10889"/>
    <cellStyle name="Обычный 4 3 3 2 7 2 3" xfId="10890"/>
    <cellStyle name="Обычный 4 3 3 2 7 3" xfId="10891"/>
    <cellStyle name="Обычный 4 3 3 2 7 4" xfId="10892"/>
    <cellStyle name="Обычный 4 3 3 2 8" xfId="10893"/>
    <cellStyle name="Обычный 4 3 3 2 8 2" xfId="10894"/>
    <cellStyle name="Обычный 4 3 3 2 8 3" xfId="10895"/>
    <cellStyle name="Обычный 4 3 3 2 9" xfId="10896"/>
    <cellStyle name="Обычный 4 3 3 2_Расчет  30 млн_Технополис  Коренькова" xfId="10897"/>
    <cellStyle name="Обычный 4 3 3 3" xfId="10898"/>
    <cellStyle name="Обычный 4 3 3 3 10" xfId="10899"/>
    <cellStyle name="Обычный 4 3 3 3 2" xfId="10900"/>
    <cellStyle name="Обычный 4 3 3 3 2 2" xfId="10901"/>
    <cellStyle name="Обычный 4 3 3 3 2 2 2" xfId="10902"/>
    <cellStyle name="Обычный 4 3 3 3 2 2 2 2" xfId="10903"/>
    <cellStyle name="Обычный 4 3 3 3 2 2 2 3" xfId="10904"/>
    <cellStyle name="Обычный 4 3 3 3 2 2 3" xfId="10905"/>
    <cellStyle name="Обычный 4 3 3 3 2 2 4" xfId="10906"/>
    <cellStyle name="Обычный 4 3 3 3 2 3" xfId="10907"/>
    <cellStyle name="Обычный 4 3 3 3 2 3 2" xfId="10908"/>
    <cellStyle name="Обычный 4 3 3 3 2 3 3" xfId="10909"/>
    <cellStyle name="Обычный 4 3 3 3 2 4" xfId="10910"/>
    <cellStyle name="Обычный 4 3 3 3 2 5" xfId="10911"/>
    <cellStyle name="Обычный 4 3 3 3 3" xfId="10912"/>
    <cellStyle name="Обычный 4 3 3 3 3 2" xfId="10913"/>
    <cellStyle name="Обычный 4 3 3 3 3 2 2" xfId="10914"/>
    <cellStyle name="Обычный 4 3 3 3 3 2 2 2" xfId="10915"/>
    <cellStyle name="Обычный 4 3 3 3 3 2 2 3" xfId="10916"/>
    <cellStyle name="Обычный 4 3 3 3 3 2 3" xfId="10917"/>
    <cellStyle name="Обычный 4 3 3 3 3 2 4" xfId="10918"/>
    <cellStyle name="Обычный 4 3 3 3 3 3" xfId="10919"/>
    <cellStyle name="Обычный 4 3 3 3 3 3 2" xfId="10920"/>
    <cellStyle name="Обычный 4 3 3 3 3 3 3" xfId="10921"/>
    <cellStyle name="Обычный 4 3 3 3 3 4" xfId="10922"/>
    <cellStyle name="Обычный 4 3 3 3 3 5" xfId="10923"/>
    <cellStyle name="Обычный 4 3 3 3 4" xfId="10924"/>
    <cellStyle name="Обычный 4 3 3 3 4 2" xfId="10925"/>
    <cellStyle name="Обычный 4 3 3 3 4 2 2" xfId="10926"/>
    <cellStyle name="Обычный 4 3 3 3 4 2 2 2" xfId="10927"/>
    <cellStyle name="Обычный 4 3 3 3 4 2 2 3" xfId="10928"/>
    <cellStyle name="Обычный 4 3 3 3 4 2 3" xfId="10929"/>
    <cellStyle name="Обычный 4 3 3 3 4 2 4" xfId="10930"/>
    <cellStyle name="Обычный 4 3 3 3 4 3" xfId="10931"/>
    <cellStyle name="Обычный 4 3 3 3 4 3 2" xfId="10932"/>
    <cellStyle name="Обычный 4 3 3 3 4 3 3" xfId="10933"/>
    <cellStyle name="Обычный 4 3 3 3 4 4" xfId="10934"/>
    <cellStyle name="Обычный 4 3 3 3 4 5" xfId="10935"/>
    <cellStyle name="Обычный 4 3 3 3 5" xfId="10936"/>
    <cellStyle name="Обычный 4 3 3 3 5 2" xfId="10937"/>
    <cellStyle name="Обычный 4 3 3 3 5 2 2" xfId="10938"/>
    <cellStyle name="Обычный 4 3 3 3 5 2 2 2" xfId="10939"/>
    <cellStyle name="Обычный 4 3 3 3 5 2 2 3" xfId="10940"/>
    <cellStyle name="Обычный 4 3 3 3 5 2 3" xfId="10941"/>
    <cellStyle name="Обычный 4 3 3 3 5 2 4" xfId="10942"/>
    <cellStyle name="Обычный 4 3 3 3 5 3" xfId="10943"/>
    <cellStyle name="Обычный 4 3 3 3 5 3 2" xfId="10944"/>
    <cellStyle name="Обычный 4 3 3 3 5 3 3" xfId="10945"/>
    <cellStyle name="Обычный 4 3 3 3 5 4" xfId="10946"/>
    <cellStyle name="Обычный 4 3 3 3 5 5" xfId="10947"/>
    <cellStyle name="Обычный 4 3 3 3 6" xfId="10948"/>
    <cellStyle name="Обычный 4 3 3 3 6 2" xfId="10949"/>
    <cellStyle name="Обычный 4 3 3 3 6 2 2" xfId="10950"/>
    <cellStyle name="Обычный 4 3 3 3 6 2 2 2" xfId="10951"/>
    <cellStyle name="Обычный 4 3 3 3 6 2 2 3" xfId="10952"/>
    <cellStyle name="Обычный 4 3 3 3 6 2 3" xfId="10953"/>
    <cellStyle name="Обычный 4 3 3 3 6 2 4" xfId="10954"/>
    <cellStyle name="Обычный 4 3 3 3 6 3" xfId="10955"/>
    <cellStyle name="Обычный 4 3 3 3 6 3 2" xfId="10956"/>
    <cellStyle name="Обычный 4 3 3 3 6 3 3" xfId="10957"/>
    <cellStyle name="Обычный 4 3 3 3 6 4" xfId="10958"/>
    <cellStyle name="Обычный 4 3 3 3 6 5" xfId="10959"/>
    <cellStyle name="Обычный 4 3 3 3 7" xfId="10960"/>
    <cellStyle name="Обычный 4 3 3 3 7 2" xfId="10961"/>
    <cellStyle name="Обычный 4 3 3 3 7 2 2" xfId="10962"/>
    <cellStyle name="Обычный 4 3 3 3 7 2 3" xfId="10963"/>
    <cellStyle name="Обычный 4 3 3 3 7 3" xfId="10964"/>
    <cellStyle name="Обычный 4 3 3 3 7 4" xfId="10965"/>
    <cellStyle name="Обычный 4 3 3 3 8" xfId="10966"/>
    <cellStyle name="Обычный 4 3 3 3 8 2" xfId="10967"/>
    <cellStyle name="Обычный 4 3 3 3 8 3" xfId="10968"/>
    <cellStyle name="Обычный 4 3 3 3 9" xfId="10969"/>
    <cellStyle name="Обычный 4 3 3 3_Расчет  30 млн_Технополис  Коренькова" xfId="10970"/>
    <cellStyle name="Обычный 4 3 3 4" xfId="10971"/>
    <cellStyle name="Обычный 4 3 3 4 10" xfId="10972"/>
    <cellStyle name="Обычный 4 3 3 4 2" xfId="10973"/>
    <cellStyle name="Обычный 4 3 3 4 2 2" xfId="10974"/>
    <cellStyle name="Обычный 4 3 3 4 2 2 2" xfId="10975"/>
    <cellStyle name="Обычный 4 3 3 4 2 2 2 2" xfId="10976"/>
    <cellStyle name="Обычный 4 3 3 4 2 2 2 3" xfId="10977"/>
    <cellStyle name="Обычный 4 3 3 4 2 2 3" xfId="10978"/>
    <cellStyle name="Обычный 4 3 3 4 2 2 4" xfId="10979"/>
    <cellStyle name="Обычный 4 3 3 4 2 3" xfId="10980"/>
    <cellStyle name="Обычный 4 3 3 4 2 3 2" xfId="10981"/>
    <cellStyle name="Обычный 4 3 3 4 2 3 3" xfId="10982"/>
    <cellStyle name="Обычный 4 3 3 4 2 4" xfId="10983"/>
    <cellStyle name="Обычный 4 3 3 4 2 5" xfId="10984"/>
    <cellStyle name="Обычный 4 3 3 4 3" xfId="10985"/>
    <cellStyle name="Обычный 4 3 3 4 3 2" xfId="10986"/>
    <cellStyle name="Обычный 4 3 3 4 3 2 2" xfId="10987"/>
    <cellStyle name="Обычный 4 3 3 4 3 2 2 2" xfId="10988"/>
    <cellStyle name="Обычный 4 3 3 4 3 2 2 3" xfId="10989"/>
    <cellStyle name="Обычный 4 3 3 4 3 2 3" xfId="10990"/>
    <cellStyle name="Обычный 4 3 3 4 3 2 4" xfId="10991"/>
    <cellStyle name="Обычный 4 3 3 4 3 3" xfId="10992"/>
    <cellStyle name="Обычный 4 3 3 4 3 3 2" xfId="10993"/>
    <cellStyle name="Обычный 4 3 3 4 3 3 3" xfId="10994"/>
    <cellStyle name="Обычный 4 3 3 4 3 4" xfId="10995"/>
    <cellStyle name="Обычный 4 3 3 4 3 5" xfId="10996"/>
    <cellStyle name="Обычный 4 3 3 4 4" xfId="10997"/>
    <cellStyle name="Обычный 4 3 3 4 4 2" xfId="10998"/>
    <cellStyle name="Обычный 4 3 3 4 4 2 2" xfId="10999"/>
    <cellStyle name="Обычный 4 3 3 4 4 2 2 2" xfId="11000"/>
    <cellStyle name="Обычный 4 3 3 4 4 2 2 3" xfId="11001"/>
    <cellStyle name="Обычный 4 3 3 4 4 2 3" xfId="11002"/>
    <cellStyle name="Обычный 4 3 3 4 4 2 4" xfId="11003"/>
    <cellStyle name="Обычный 4 3 3 4 4 3" xfId="11004"/>
    <cellStyle name="Обычный 4 3 3 4 4 3 2" xfId="11005"/>
    <cellStyle name="Обычный 4 3 3 4 4 3 3" xfId="11006"/>
    <cellStyle name="Обычный 4 3 3 4 4 4" xfId="11007"/>
    <cellStyle name="Обычный 4 3 3 4 4 5" xfId="11008"/>
    <cellStyle name="Обычный 4 3 3 4 5" xfId="11009"/>
    <cellStyle name="Обычный 4 3 3 4 5 2" xfId="11010"/>
    <cellStyle name="Обычный 4 3 3 4 5 2 2" xfId="11011"/>
    <cellStyle name="Обычный 4 3 3 4 5 2 2 2" xfId="11012"/>
    <cellStyle name="Обычный 4 3 3 4 5 2 2 3" xfId="11013"/>
    <cellStyle name="Обычный 4 3 3 4 5 2 3" xfId="11014"/>
    <cellStyle name="Обычный 4 3 3 4 5 2 4" xfId="11015"/>
    <cellStyle name="Обычный 4 3 3 4 5 3" xfId="11016"/>
    <cellStyle name="Обычный 4 3 3 4 5 3 2" xfId="11017"/>
    <cellStyle name="Обычный 4 3 3 4 5 3 3" xfId="11018"/>
    <cellStyle name="Обычный 4 3 3 4 5 4" xfId="11019"/>
    <cellStyle name="Обычный 4 3 3 4 5 5" xfId="11020"/>
    <cellStyle name="Обычный 4 3 3 4 6" xfId="11021"/>
    <cellStyle name="Обычный 4 3 3 4 6 2" xfId="11022"/>
    <cellStyle name="Обычный 4 3 3 4 6 2 2" xfId="11023"/>
    <cellStyle name="Обычный 4 3 3 4 6 2 2 2" xfId="11024"/>
    <cellStyle name="Обычный 4 3 3 4 6 2 2 3" xfId="11025"/>
    <cellStyle name="Обычный 4 3 3 4 6 2 3" xfId="11026"/>
    <cellStyle name="Обычный 4 3 3 4 6 2 4" xfId="11027"/>
    <cellStyle name="Обычный 4 3 3 4 6 3" xfId="11028"/>
    <cellStyle name="Обычный 4 3 3 4 6 3 2" xfId="11029"/>
    <cellStyle name="Обычный 4 3 3 4 6 3 3" xfId="11030"/>
    <cellStyle name="Обычный 4 3 3 4 6 4" xfId="11031"/>
    <cellStyle name="Обычный 4 3 3 4 6 5" xfId="11032"/>
    <cellStyle name="Обычный 4 3 3 4 7" xfId="11033"/>
    <cellStyle name="Обычный 4 3 3 4 7 2" xfId="11034"/>
    <cellStyle name="Обычный 4 3 3 4 7 2 2" xfId="11035"/>
    <cellStyle name="Обычный 4 3 3 4 7 2 3" xfId="11036"/>
    <cellStyle name="Обычный 4 3 3 4 7 3" xfId="11037"/>
    <cellStyle name="Обычный 4 3 3 4 7 4" xfId="11038"/>
    <cellStyle name="Обычный 4 3 3 4 8" xfId="11039"/>
    <cellStyle name="Обычный 4 3 3 4 8 2" xfId="11040"/>
    <cellStyle name="Обычный 4 3 3 4 8 3" xfId="11041"/>
    <cellStyle name="Обычный 4 3 3 4 9" xfId="11042"/>
    <cellStyle name="Обычный 4 3 3 4_Расчет  30 млн_Технополис  Коренькова" xfId="11043"/>
    <cellStyle name="Обычный 4 3 3 5" xfId="11044"/>
    <cellStyle name="Обычный 4 3 3 5 2" xfId="11045"/>
    <cellStyle name="Обычный 4 3 3 5 2 2" xfId="11046"/>
    <cellStyle name="Обычный 4 3 3 5 2 2 2" xfId="11047"/>
    <cellStyle name="Обычный 4 3 3 5 2 2 3" xfId="11048"/>
    <cellStyle name="Обычный 4 3 3 5 2 3" xfId="11049"/>
    <cellStyle name="Обычный 4 3 3 5 2 4" xfId="11050"/>
    <cellStyle name="Обычный 4 3 3 5 3" xfId="11051"/>
    <cellStyle name="Обычный 4 3 3 5 3 2" xfId="11052"/>
    <cellStyle name="Обычный 4 3 3 5 3 3" xfId="11053"/>
    <cellStyle name="Обычный 4 3 3 5 4" xfId="11054"/>
    <cellStyle name="Обычный 4 3 3 5 5" xfId="11055"/>
    <cellStyle name="Обычный 4 3 3 6" xfId="11056"/>
    <cellStyle name="Обычный 4 3 3 6 2" xfId="11057"/>
    <cellStyle name="Обычный 4 3 3 6 2 2" xfId="11058"/>
    <cellStyle name="Обычный 4 3 3 6 2 2 2" xfId="11059"/>
    <cellStyle name="Обычный 4 3 3 6 2 2 3" xfId="11060"/>
    <cellStyle name="Обычный 4 3 3 6 2 3" xfId="11061"/>
    <cellStyle name="Обычный 4 3 3 6 2 4" xfId="11062"/>
    <cellStyle name="Обычный 4 3 3 6 3" xfId="11063"/>
    <cellStyle name="Обычный 4 3 3 6 3 2" xfId="11064"/>
    <cellStyle name="Обычный 4 3 3 6 3 3" xfId="11065"/>
    <cellStyle name="Обычный 4 3 3 6 4" xfId="11066"/>
    <cellStyle name="Обычный 4 3 3 6 5" xfId="11067"/>
    <cellStyle name="Обычный 4 3 3 7" xfId="11068"/>
    <cellStyle name="Обычный 4 3 3 7 2" xfId="11069"/>
    <cellStyle name="Обычный 4 3 3 7 2 2" xfId="11070"/>
    <cellStyle name="Обычный 4 3 3 7 2 2 2" xfId="11071"/>
    <cellStyle name="Обычный 4 3 3 7 2 2 3" xfId="11072"/>
    <cellStyle name="Обычный 4 3 3 7 2 3" xfId="11073"/>
    <cellStyle name="Обычный 4 3 3 7 2 4" xfId="11074"/>
    <cellStyle name="Обычный 4 3 3 7 3" xfId="11075"/>
    <cellStyle name="Обычный 4 3 3 7 3 2" xfId="11076"/>
    <cellStyle name="Обычный 4 3 3 7 3 3" xfId="11077"/>
    <cellStyle name="Обычный 4 3 3 7 4" xfId="11078"/>
    <cellStyle name="Обычный 4 3 3 7 5" xfId="11079"/>
    <cellStyle name="Обычный 4 3 3 8" xfId="11080"/>
    <cellStyle name="Обычный 4 3 3 8 2" xfId="11081"/>
    <cellStyle name="Обычный 4 3 3 8 2 2" xfId="11082"/>
    <cellStyle name="Обычный 4 3 3 8 2 2 2" xfId="11083"/>
    <cellStyle name="Обычный 4 3 3 8 2 2 3" xfId="11084"/>
    <cellStyle name="Обычный 4 3 3 8 2 3" xfId="11085"/>
    <cellStyle name="Обычный 4 3 3 8 2 4" xfId="11086"/>
    <cellStyle name="Обычный 4 3 3 8 3" xfId="11087"/>
    <cellStyle name="Обычный 4 3 3 8 3 2" xfId="11088"/>
    <cellStyle name="Обычный 4 3 3 8 3 3" xfId="11089"/>
    <cellStyle name="Обычный 4 3 3 8 4" xfId="11090"/>
    <cellStyle name="Обычный 4 3 3 8 5" xfId="11091"/>
    <cellStyle name="Обычный 4 3 3 9" xfId="11092"/>
    <cellStyle name="Обычный 4 3 3 9 2" xfId="11093"/>
    <cellStyle name="Обычный 4 3 3 9 2 2" xfId="11094"/>
    <cellStyle name="Обычный 4 3 3 9 2 2 2" xfId="11095"/>
    <cellStyle name="Обычный 4 3 3 9 2 2 3" xfId="11096"/>
    <cellStyle name="Обычный 4 3 3 9 2 3" xfId="11097"/>
    <cellStyle name="Обычный 4 3 3 9 2 4" xfId="11098"/>
    <cellStyle name="Обычный 4 3 3 9 3" xfId="11099"/>
    <cellStyle name="Обычный 4 3 3 9 3 2" xfId="11100"/>
    <cellStyle name="Обычный 4 3 3 9 3 3" xfId="11101"/>
    <cellStyle name="Обычный 4 3 3 9 4" xfId="11102"/>
    <cellStyle name="Обычный 4 3 3 9 5" xfId="11103"/>
    <cellStyle name="Обычный 4 3 3_1 ВАР. КП 1 293  +8пропорцЛара" xfId="11104"/>
    <cellStyle name="Обычный 4 3 4" xfId="11105"/>
    <cellStyle name="Обычный 4 3 4 10" xfId="11106"/>
    <cellStyle name="Обычный 4 3 4 2" xfId="11107"/>
    <cellStyle name="Обычный 4 3 4 2 2" xfId="11108"/>
    <cellStyle name="Обычный 4 3 4 2 2 2" xfId="11109"/>
    <cellStyle name="Обычный 4 3 4 2 2 2 2" xfId="11110"/>
    <cellStyle name="Обычный 4 3 4 2 2 2 3" xfId="11111"/>
    <cellStyle name="Обычный 4 3 4 2 2 3" xfId="11112"/>
    <cellStyle name="Обычный 4 3 4 2 2 4" xfId="11113"/>
    <cellStyle name="Обычный 4 3 4 2 3" xfId="11114"/>
    <cellStyle name="Обычный 4 3 4 2 3 2" xfId="11115"/>
    <cellStyle name="Обычный 4 3 4 2 3 3" xfId="11116"/>
    <cellStyle name="Обычный 4 3 4 2 4" xfId="11117"/>
    <cellStyle name="Обычный 4 3 4 2 5" xfId="11118"/>
    <cellStyle name="Обычный 4 3 4 3" xfId="11119"/>
    <cellStyle name="Обычный 4 3 4 3 2" xfId="11120"/>
    <cellStyle name="Обычный 4 3 4 3 2 2" xfId="11121"/>
    <cellStyle name="Обычный 4 3 4 3 2 2 2" xfId="11122"/>
    <cellStyle name="Обычный 4 3 4 3 2 2 3" xfId="11123"/>
    <cellStyle name="Обычный 4 3 4 3 2 3" xfId="11124"/>
    <cellStyle name="Обычный 4 3 4 3 2 4" xfId="11125"/>
    <cellStyle name="Обычный 4 3 4 3 3" xfId="11126"/>
    <cellStyle name="Обычный 4 3 4 3 3 2" xfId="11127"/>
    <cellStyle name="Обычный 4 3 4 3 3 3" xfId="11128"/>
    <cellStyle name="Обычный 4 3 4 3 4" xfId="11129"/>
    <cellStyle name="Обычный 4 3 4 3 5" xfId="11130"/>
    <cellStyle name="Обычный 4 3 4 4" xfId="11131"/>
    <cellStyle name="Обычный 4 3 4 4 2" xfId="11132"/>
    <cellStyle name="Обычный 4 3 4 4 2 2" xfId="11133"/>
    <cellStyle name="Обычный 4 3 4 4 2 2 2" xfId="11134"/>
    <cellStyle name="Обычный 4 3 4 4 2 2 3" xfId="11135"/>
    <cellStyle name="Обычный 4 3 4 4 2 3" xfId="11136"/>
    <cellStyle name="Обычный 4 3 4 4 2 4" xfId="11137"/>
    <cellStyle name="Обычный 4 3 4 4 3" xfId="11138"/>
    <cellStyle name="Обычный 4 3 4 4 3 2" xfId="11139"/>
    <cellStyle name="Обычный 4 3 4 4 3 3" xfId="11140"/>
    <cellStyle name="Обычный 4 3 4 4 4" xfId="11141"/>
    <cellStyle name="Обычный 4 3 4 4 5" xfId="11142"/>
    <cellStyle name="Обычный 4 3 4 5" xfId="11143"/>
    <cellStyle name="Обычный 4 3 4 5 2" xfId="11144"/>
    <cellStyle name="Обычный 4 3 4 5 2 2" xfId="11145"/>
    <cellStyle name="Обычный 4 3 4 5 2 2 2" xfId="11146"/>
    <cellStyle name="Обычный 4 3 4 5 2 2 3" xfId="11147"/>
    <cellStyle name="Обычный 4 3 4 5 2 3" xfId="11148"/>
    <cellStyle name="Обычный 4 3 4 5 2 4" xfId="11149"/>
    <cellStyle name="Обычный 4 3 4 5 3" xfId="11150"/>
    <cellStyle name="Обычный 4 3 4 5 3 2" xfId="11151"/>
    <cellStyle name="Обычный 4 3 4 5 3 3" xfId="11152"/>
    <cellStyle name="Обычный 4 3 4 5 4" xfId="11153"/>
    <cellStyle name="Обычный 4 3 4 5 5" xfId="11154"/>
    <cellStyle name="Обычный 4 3 4 6" xfId="11155"/>
    <cellStyle name="Обычный 4 3 4 6 2" xfId="11156"/>
    <cellStyle name="Обычный 4 3 4 6 2 2" xfId="11157"/>
    <cellStyle name="Обычный 4 3 4 6 2 2 2" xfId="11158"/>
    <cellStyle name="Обычный 4 3 4 6 2 2 3" xfId="11159"/>
    <cellStyle name="Обычный 4 3 4 6 2 3" xfId="11160"/>
    <cellStyle name="Обычный 4 3 4 6 2 4" xfId="11161"/>
    <cellStyle name="Обычный 4 3 4 6 3" xfId="11162"/>
    <cellStyle name="Обычный 4 3 4 6 3 2" xfId="11163"/>
    <cellStyle name="Обычный 4 3 4 6 3 3" xfId="11164"/>
    <cellStyle name="Обычный 4 3 4 6 4" xfId="11165"/>
    <cellStyle name="Обычный 4 3 4 6 5" xfId="11166"/>
    <cellStyle name="Обычный 4 3 4 7" xfId="11167"/>
    <cellStyle name="Обычный 4 3 4 7 2" xfId="11168"/>
    <cellStyle name="Обычный 4 3 4 7 2 2" xfId="11169"/>
    <cellStyle name="Обычный 4 3 4 7 2 3" xfId="11170"/>
    <cellStyle name="Обычный 4 3 4 7 3" xfId="11171"/>
    <cellStyle name="Обычный 4 3 4 7 4" xfId="11172"/>
    <cellStyle name="Обычный 4 3 4 8" xfId="11173"/>
    <cellStyle name="Обычный 4 3 4 8 2" xfId="11174"/>
    <cellStyle name="Обычный 4 3 4 8 3" xfId="11175"/>
    <cellStyle name="Обычный 4 3 4 9" xfId="11176"/>
    <cellStyle name="Обычный 4 3 4_Расчет  30 млн_Технополис  Коренькова" xfId="11177"/>
    <cellStyle name="Обычный 4 3 5" xfId="11178"/>
    <cellStyle name="Обычный 4 3 5 10" xfId="11179"/>
    <cellStyle name="Обычный 4 3 5 2" xfId="11180"/>
    <cellStyle name="Обычный 4 3 5 2 2" xfId="11181"/>
    <cellStyle name="Обычный 4 3 5 2 2 2" xfId="11182"/>
    <cellStyle name="Обычный 4 3 5 2 2 2 2" xfId="11183"/>
    <cellStyle name="Обычный 4 3 5 2 2 2 3" xfId="11184"/>
    <cellStyle name="Обычный 4 3 5 2 2 3" xfId="11185"/>
    <cellStyle name="Обычный 4 3 5 2 2 4" xfId="11186"/>
    <cellStyle name="Обычный 4 3 5 2 3" xfId="11187"/>
    <cellStyle name="Обычный 4 3 5 2 3 2" xfId="11188"/>
    <cellStyle name="Обычный 4 3 5 2 3 3" xfId="11189"/>
    <cellStyle name="Обычный 4 3 5 2 4" xfId="11190"/>
    <cellStyle name="Обычный 4 3 5 2 5" xfId="11191"/>
    <cellStyle name="Обычный 4 3 5 3" xfId="11192"/>
    <cellStyle name="Обычный 4 3 5 3 2" xfId="11193"/>
    <cellStyle name="Обычный 4 3 5 3 2 2" xfId="11194"/>
    <cellStyle name="Обычный 4 3 5 3 2 2 2" xfId="11195"/>
    <cellStyle name="Обычный 4 3 5 3 2 2 3" xfId="11196"/>
    <cellStyle name="Обычный 4 3 5 3 2 3" xfId="11197"/>
    <cellStyle name="Обычный 4 3 5 3 2 4" xfId="11198"/>
    <cellStyle name="Обычный 4 3 5 3 3" xfId="11199"/>
    <cellStyle name="Обычный 4 3 5 3 3 2" xfId="11200"/>
    <cellStyle name="Обычный 4 3 5 3 3 3" xfId="11201"/>
    <cellStyle name="Обычный 4 3 5 3 4" xfId="11202"/>
    <cellStyle name="Обычный 4 3 5 3 5" xfId="11203"/>
    <cellStyle name="Обычный 4 3 5 4" xfId="11204"/>
    <cellStyle name="Обычный 4 3 5 4 2" xfId="11205"/>
    <cellStyle name="Обычный 4 3 5 4 2 2" xfId="11206"/>
    <cellStyle name="Обычный 4 3 5 4 2 2 2" xfId="11207"/>
    <cellStyle name="Обычный 4 3 5 4 2 2 3" xfId="11208"/>
    <cellStyle name="Обычный 4 3 5 4 2 3" xfId="11209"/>
    <cellStyle name="Обычный 4 3 5 4 2 4" xfId="11210"/>
    <cellStyle name="Обычный 4 3 5 4 3" xfId="11211"/>
    <cellStyle name="Обычный 4 3 5 4 3 2" xfId="11212"/>
    <cellStyle name="Обычный 4 3 5 4 3 3" xfId="11213"/>
    <cellStyle name="Обычный 4 3 5 4 4" xfId="11214"/>
    <cellStyle name="Обычный 4 3 5 4 5" xfId="11215"/>
    <cellStyle name="Обычный 4 3 5 5" xfId="11216"/>
    <cellStyle name="Обычный 4 3 5 5 2" xfId="11217"/>
    <cellStyle name="Обычный 4 3 5 5 2 2" xfId="11218"/>
    <cellStyle name="Обычный 4 3 5 5 2 2 2" xfId="11219"/>
    <cellStyle name="Обычный 4 3 5 5 2 2 3" xfId="11220"/>
    <cellStyle name="Обычный 4 3 5 5 2 3" xfId="11221"/>
    <cellStyle name="Обычный 4 3 5 5 2 4" xfId="11222"/>
    <cellStyle name="Обычный 4 3 5 5 3" xfId="11223"/>
    <cellStyle name="Обычный 4 3 5 5 3 2" xfId="11224"/>
    <cellStyle name="Обычный 4 3 5 5 3 3" xfId="11225"/>
    <cellStyle name="Обычный 4 3 5 5 4" xfId="11226"/>
    <cellStyle name="Обычный 4 3 5 5 5" xfId="11227"/>
    <cellStyle name="Обычный 4 3 5 6" xfId="11228"/>
    <cellStyle name="Обычный 4 3 5 6 2" xfId="11229"/>
    <cellStyle name="Обычный 4 3 5 6 2 2" xfId="11230"/>
    <cellStyle name="Обычный 4 3 5 6 2 2 2" xfId="11231"/>
    <cellStyle name="Обычный 4 3 5 6 2 2 3" xfId="11232"/>
    <cellStyle name="Обычный 4 3 5 6 2 3" xfId="11233"/>
    <cellStyle name="Обычный 4 3 5 6 2 4" xfId="11234"/>
    <cellStyle name="Обычный 4 3 5 6 3" xfId="11235"/>
    <cellStyle name="Обычный 4 3 5 6 3 2" xfId="11236"/>
    <cellStyle name="Обычный 4 3 5 6 3 3" xfId="11237"/>
    <cellStyle name="Обычный 4 3 5 6 4" xfId="11238"/>
    <cellStyle name="Обычный 4 3 5 6 5" xfId="11239"/>
    <cellStyle name="Обычный 4 3 5 7" xfId="11240"/>
    <cellStyle name="Обычный 4 3 5 7 2" xfId="11241"/>
    <cellStyle name="Обычный 4 3 5 7 2 2" xfId="11242"/>
    <cellStyle name="Обычный 4 3 5 7 2 3" xfId="11243"/>
    <cellStyle name="Обычный 4 3 5 7 3" xfId="11244"/>
    <cellStyle name="Обычный 4 3 5 7 4" xfId="11245"/>
    <cellStyle name="Обычный 4 3 5 8" xfId="11246"/>
    <cellStyle name="Обычный 4 3 5 8 2" xfId="11247"/>
    <cellStyle name="Обычный 4 3 5 8 3" xfId="11248"/>
    <cellStyle name="Обычный 4 3 5 9" xfId="11249"/>
    <cellStyle name="Обычный 4 3 5_Расчет  30 млн_Технополис  Коренькова" xfId="11250"/>
    <cellStyle name="Обычный 4 3 6" xfId="11251"/>
    <cellStyle name="Обычный 4 3 6 10" xfId="11252"/>
    <cellStyle name="Обычный 4 3 6 2" xfId="11253"/>
    <cellStyle name="Обычный 4 3 6 2 2" xfId="11254"/>
    <cellStyle name="Обычный 4 3 6 2 2 2" xfId="11255"/>
    <cellStyle name="Обычный 4 3 6 2 2 2 2" xfId="11256"/>
    <cellStyle name="Обычный 4 3 6 2 2 2 3" xfId="11257"/>
    <cellStyle name="Обычный 4 3 6 2 2 3" xfId="11258"/>
    <cellStyle name="Обычный 4 3 6 2 2 4" xfId="11259"/>
    <cellStyle name="Обычный 4 3 6 2 3" xfId="11260"/>
    <cellStyle name="Обычный 4 3 6 2 3 2" xfId="11261"/>
    <cellStyle name="Обычный 4 3 6 2 3 3" xfId="11262"/>
    <cellStyle name="Обычный 4 3 6 2 4" xfId="11263"/>
    <cellStyle name="Обычный 4 3 6 2 5" xfId="11264"/>
    <cellStyle name="Обычный 4 3 6 3" xfId="11265"/>
    <cellStyle name="Обычный 4 3 6 3 2" xfId="11266"/>
    <cellStyle name="Обычный 4 3 6 3 2 2" xfId="11267"/>
    <cellStyle name="Обычный 4 3 6 3 2 2 2" xfId="11268"/>
    <cellStyle name="Обычный 4 3 6 3 2 2 3" xfId="11269"/>
    <cellStyle name="Обычный 4 3 6 3 2 3" xfId="11270"/>
    <cellStyle name="Обычный 4 3 6 3 2 4" xfId="11271"/>
    <cellStyle name="Обычный 4 3 6 3 3" xfId="11272"/>
    <cellStyle name="Обычный 4 3 6 3 3 2" xfId="11273"/>
    <cellStyle name="Обычный 4 3 6 3 3 3" xfId="11274"/>
    <cellStyle name="Обычный 4 3 6 3 4" xfId="11275"/>
    <cellStyle name="Обычный 4 3 6 3 5" xfId="11276"/>
    <cellStyle name="Обычный 4 3 6 4" xfId="11277"/>
    <cellStyle name="Обычный 4 3 6 4 2" xfId="11278"/>
    <cellStyle name="Обычный 4 3 6 4 2 2" xfId="11279"/>
    <cellStyle name="Обычный 4 3 6 4 2 2 2" xfId="11280"/>
    <cellStyle name="Обычный 4 3 6 4 2 2 3" xfId="11281"/>
    <cellStyle name="Обычный 4 3 6 4 2 3" xfId="11282"/>
    <cellStyle name="Обычный 4 3 6 4 2 4" xfId="11283"/>
    <cellStyle name="Обычный 4 3 6 4 3" xfId="11284"/>
    <cellStyle name="Обычный 4 3 6 4 3 2" xfId="11285"/>
    <cellStyle name="Обычный 4 3 6 4 3 3" xfId="11286"/>
    <cellStyle name="Обычный 4 3 6 4 4" xfId="11287"/>
    <cellStyle name="Обычный 4 3 6 4 5" xfId="11288"/>
    <cellStyle name="Обычный 4 3 6 5" xfId="11289"/>
    <cellStyle name="Обычный 4 3 6 5 2" xfId="11290"/>
    <cellStyle name="Обычный 4 3 6 5 2 2" xfId="11291"/>
    <cellStyle name="Обычный 4 3 6 5 2 2 2" xfId="11292"/>
    <cellStyle name="Обычный 4 3 6 5 2 2 3" xfId="11293"/>
    <cellStyle name="Обычный 4 3 6 5 2 3" xfId="11294"/>
    <cellStyle name="Обычный 4 3 6 5 2 4" xfId="11295"/>
    <cellStyle name="Обычный 4 3 6 5 3" xfId="11296"/>
    <cellStyle name="Обычный 4 3 6 5 3 2" xfId="11297"/>
    <cellStyle name="Обычный 4 3 6 5 3 3" xfId="11298"/>
    <cellStyle name="Обычный 4 3 6 5 4" xfId="11299"/>
    <cellStyle name="Обычный 4 3 6 5 5" xfId="11300"/>
    <cellStyle name="Обычный 4 3 6 6" xfId="11301"/>
    <cellStyle name="Обычный 4 3 6 6 2" xfId="11302"/>
    <cellStyle name="Обычный 4 3 6 6 2 2" xfId="11303"/>
    <cellStyle name="Обычный 4 3 6 6 2 2 2" xfId="11304"/>
    <cellStyle name="Обычный 4 3 6 6 2 2 3" xfId="11305"/>
    <cellStyle name="Обычный 4 3 6 6 2 3" xfId="11306"/>
    <cellStyle name="Обычный 4 3 6 6 2 4" xfId="11307"/>
    <cellStyle name="Обычный 4 3 6 6 3" xfId="11308"/>
    <cellStyle name="Обычный 4 3 6 6 3 2" xfId="11309"/>
    <cellStyle name="Обычный 4 3 6 6 3 3" xfId="11310"/>
    <cellStyle name="Обычный 4 3 6 6 4" xfId="11311"/>
    <cellStyle name="Обычный 4 3 6 6 5" xfId="11312"/>
    <cellStyle name="Обычный 4 3 6 7" xfId="11313"/>
    <cellStyle name="Обычный 4 3 6 7 2" xfId="11314"/>
    <cellStyle name="Обычный 4 3 6 7 2 2" xfId="11315"/>
    <cellStyle name="Обычный 4 3 6 7 2 3" xfId="11316"/>
    <cellStyle name="Обычный 4 3 6 7 3" xfId="11317"/>
    <cellStyle name="Обычный 4 3 6 7 4" xfId="11318"/>
    <cellStyle name="Обычный 4 3 6 8" xfId="11319"/>
    <cellStyle name="Обычный 4 3 6 8 2" xfId="11320"/>
    <cellStyle name="Обычный 4 3 6 8 3" xfId="11321"/>
    <cellStyle name="Обычный 4 3 6 9" xfId="11322"/>
    <cellStyle name="Обычный 4 3 6_Расчет  30 млн_Технополис  Коренькова" xfId="11323"/>
    <cellStyle name="Обычный 4 3 7" xfId="11324"/>
    <cellStyle name="Обычный 4 3 7 10" xfId="11325"/>
    <cellStyle name="Обычный 4 3 7 2" xfId="11326"/>
    <cellStyle name="Обычный 4 3 7 2 2" xfId="11327"/>
    <cellStyle name="Обычный 4 3 7 2 2 2" xfId="11328"/>
    <cellStyle name="Обычный 4 3 7 2 2 2 2" xfId="11329"/>
    <cellStyle name="Обычный 4 3 7 2 2 2 3" xfId="11330"/>
    <cellStyle name="Обычный 4 3 7 2 2 3" xfId="11331"/>
    <cellStyle name="Обычный 4 3 7 2 2 4" xfId="11332"/>
    <cellStyle name="Обычный 4 3 7 2 3" xfId="11333"/>
    <cellStyle name="Обычный 4 3 7 2 3 2" xfId="11334"/>
    <cellStyle name="Обычный 4 3 7 2 3 3" xfId="11335"/>
    <cellStyle name="Обычный 4 3 7 2 4" xfId="11336"/>
    <cellStyle name="Обычный 4 3 7 2 5" xfId="11337"/>
    <cellStyle name="Обычный 4 3 7 3" xfId="11338"/>
    <cellStyle name="Обычный 4 3 7 3 2" xfId="11339"/>
    <cellStyle name="Обычный 4 3 7 3 2 2" xfId="11340"/>
    <cellStyle name="Обычный 4 3 7 3 2 2 2" xfId="11341"/>
    <cellStyle name="Обычный 4 3 7 3 2 2 3" xfId="11342"/>
    <cellStyle name="Обычный 4 3 7 3 2 3" xfId="11343"/>
    <cellStyle name="Обычный 4 3 7 3 2 4" xfId="11344"/>
    <cellStyle name="Обычный 4 3 7 3 3" xfId="11345"/>
    <cellStyle name="Обычный 4 3 7 3 3 2" xfId="11346"/>
    <cellStyle name="Обычный 4 3 7 3 3 3" xfId="11347"/>
    <cellStyle name="Обычный 4 3 7 3 4" xfId="11348"/>
    <cellStyle name="Обычный 4 3 7 3 5" xfId="11349"/>
    <cellStyle name="Обычный 4 3 7 4" xfId="11350"/>
    <cellStyle name="Обычный 4 3 7 4 2" xfId="11351"/>
    <cellStyle name="Обычный 4 3 7 4 2 2" xfId="11352"/>
    <cellStyle name="Обычный 4 3 7 4 2 2 2" xfId="11353"/>
    <cellStyle name="Обычный 4 3 7 4 2 2 3" xfId="11354"/>
    <cellStyle name="Обычный 4 3 7 4 2 3" xfId="11355"/>
    <cellStyle name="Обычный 4 3 7 4 2 4" xfId="11356"/>
    <cellStyle name="Обычный 4 3 7 4 3" xfId="11357"/>
    <cellStyle name="Обычный 4 3 7 4 3 2" xfId="11358"/>
    <cellStyle name="Обычный 4 3 7 4 3 3" xfId="11359"/>
    <cellStyle name="Обычный 4 3 7 4 4" xfId="11360"/>
    <cellStyle name="Обычный 4 3 7 4 5" xfId="11361"/>
    <cellStyle name="Обычный 4 3 7 5" xfId="11362"/>
    <cellStyle name="Обычный 4 3 7 5 2" xfId="11363"/>
    <cellStyle name="Обычный 4 3 7 5 2 2" xfId="11364"/>
    <cellStyle name="Обычный 4 3 7 5 2 2 2" xfId="11365"/>
    <cellStyle name="Обычный 4 3 7 5 2 2 3" xfId="11366"/>
    <cellStyle name="Обычный 4 3 7 5 2 3" xfId="11367"/>
    <cellStyle name="Обычный 4 3 7 5 2 4" xfId="11368"/>
    <cellStyle name="Обычный 4 3 7 5 3" xfId="11369"/>
    <cellStyle name="Обычный 4 3 7 5 3 2" xfId="11370"/>
    <cellStyle name="Обычный 4 3 7 5 3 3" xfId="11371"/>
    <cellStyle name="Обычный 4 3 7 5 4" xfId="11372"/>
    <cellStyle name="Обычный 4 3 7 5 5" xfId="11373"/>
    <cellStyle name="Обычный 4 3 7 6" xfId="11374"/>
    <cellStyle name="Обычный 4 3 7 6 2" xfId="11375"/>
    <cellStyle name="Обычный 4 3 7 6 2 2" xfId="11376"/>
    <cellStyle name="Обычный 4 3 7 6 2 2 2" xfId="11377"/>
    <cellStyle name="Обычный 4 3 7 6 2 2 3" xfId="11378"/>
    <cellStyle name="Обычный 4 3 7 6 2 3" xfId="11379"/>
    <cellStyle name="Обычный 4 3 7 6 2 4" xfId="11380"/>
    <cellStyle name="Обычный 4 3 7 6 3" xfId="11381"/>
    <cellStyle name="Обычный 4 3 7 6 3 2" xfId="11382"/>
    <cellStyle name="Обычный 4 3 7 6 3 3" xfId="11383"/>
    <cellStyle name="Обычный 4 3 7 6 4" xfId="11384"/>
    <cellStyle name="Обычный 4 3 7 6 5" xfId="11385"/>
    <cellStyle name="Обычный 4 3 7 7" xfId="11386"/>
    <cellStyle name="Обычный 4 3 7 7 2" xfId="11387"/>
    <cellStyle name="Обычный 4 3 7 7 2 2" xfId="11388"/>
    <cellStyle name="Обычный 4 3 7 7 2 3" xfId="11389"/>
    <cellStyle name="Обычный 4 3 7 7 3" xfId="11390"/>
    <cellStyle name="Обычный 4 3 7 7 4" xfId="11391"/>
    <cellStyle name="Обычный 4 3 7 8" xfId="11392"/>
    <cellStyle name="Обычный 4 3 7 8 2" xfId="11393"/>
    <cellStyle name="Обычный 4 3 7 8 3" xfId="11394"/>
    <cellStyle name="Обычный 4 3 7 9" xfId="11395"/>
    <cellStyle name="Обычный 4 3 7_Расчет  30 млн_Технополис  Коренькова" xfId="11396"/>
    <cellStyle name="Обычный 4 3 8" xfId="11397"/>
    <cellStyle name="Обычный 4 3 8 10" xfId="11398"/>
    <cellStyle name="Обычный 4 3 8 2" xfId="11399"/>
    <cellStyle name="Обычный 4 3 8 2 2" xfId="11400"/>
    <cellStyle name="Обычный 4 3 8 2 2 2" xfId="11401"/>
    <cellStyle name="Обычный 4 3 8 2 2 2 2" xfId="11402"/>
    <cellStyle name="Обычный 4 3 8 2 2 2 3" xfId="11403"/>
    <cellStyle name="Обычный 4 3 8 2 2 3" xfId="11404"/>
    <cellStyle name="Обычный 4 3 8 2 2 4" xfId="11405"/>
    <cellStyle name="Обычный 4 3 8 2 3" xfId="11406"/>
    <cellStyle name="Обычный 4 3 8 2 3 2" xfId="11407"/>
    <cellStyle name="Обычный 4 3 8 2 3 3" xfId="11408"/>
    <cellStyle name="Обычный 4 3 8 2 4" xfId="11409"/>
    <cellStyle name="Обычный 4 3 8 2 5" xfId="11410"/>
    <cellStyle name="Обычный 4 3 8 3" xfId="11411"/>
    <cellStyle name="Обычный 4 3 8 3 2" xfId="11412"/>
    <cellStyle name="Обычный 4 3 8 3 2 2" xfId="11413"/>
    <cellStyle name="Обычный 4 3 8 3 2 2 2" xfId="11414"/>
    <cellStyle name="Обычный 4 3 8 3 2 2 3" xfId="11415"/>
    <cellStyle name="Обычный 4 3 8 3 2 3" xfId="11416"/>
    <cellStyle name="Обычный 4 3 8 3 2 4" xfId="11417"/>
    <cellStyle name="Обычный 4 3 8 3 3" xfId="11418"/>
    <cellStyle name="Обычный 4 3 8 3 3 2" xfId="11419"/>
    <cellStyle name="Обычный 4 3 8 3 3 3" xfId="11420"/>
    <cellStyle name="Обычный 4 3 8 3 4" xfId="11421"/>
    <cellStyle name="Обычный 4 3 8 3 5" xfId="11422"/>
    <cellStyle name="Обычный 4 3 8 4" xfId="11423"/>
    <cellStyle name="Обычный 4 3 8 4 2" xfId="11424"/>
    <cellStyle name="Обычный 4 3 8 4 2 2" xfId="11425"/>
    <cellStyle name="Обычный 4 3 8 4 2 2 2" xfId="11426"/>
    <cellStyle name="Обычный 4 3 8 4 2 2 3" xfId="11427"/>
    <cellStyle name="Обычный 4 3 8 4 2 3" xfId="11428"/>
    <cellStyle name="Обычный 4 3 8 4 2 4" xfId="11429"/>
    <cellStyle name="Обычный 4 3 8 4 3" xfId="11430"/>
    <cellStyle name="Обычный 4 3 8 4 3 2" xfId="11431"/>
    <cellStyle name="Обычный 4 3 8 4 3 3" xfId="11432"/>
    <cellStyle name="Обычный 4 3 8 4 4" xfId="11433"/>
    <cellStyle name="Обычный 4 3 8 4 5" xfId="11434"/>
    <cellStyle name="Обычный 4 3 8 5" xfId="11435"/>
    <cellStyle name="Обычный 4 3 8 5 2" xfId="11436"/>
    <cellStyle name="Обычный 4 3 8 5 2 2" xfId="11437"/>
    <cellStyle name="Обычный 4 3 8 5 2 2 2" xfId="11438"/>
    <cellStyle name="Обычный 4 3 8 5 2 2 3" xfId="11439"/>
    <cellStyle name="Обычный 4 3 8 5 2 3" xfId="11440"/>
    <cellStyle name="Обычный 4 3 8 5 2 4" xfId="11441"/>
    <cellStyle name="Обычный 4 3 8 5 3" xfId="11442"/>
    <cellStyle name="Обычный 4 3 8 5 3 2" xfId="11443"/>
    <cellStyle name="Обычный 4 3 8 5 3 3" xfId="11444"/>
    <cellStyle name="Обычный 4 3 8 5 4" xfId="11445"/>
    <cellStyle name="Обычный 4 3 8 5 5" xfId="11446"/>
    <cellStyle name="Обычный 4 3 8 6" xfId="11447"/>
    <cellStyle name="Обычный 4 3 8 6 2" xfId="11448"/>
    <cellStyle name="Обычный 4 3 8 6 2 2" xfId="11449"/>
    <cellStyle name="Обычный 4 3 8 6 2 2 2" xfId="11450"/>
    <cellStyle name="Обычный 4 3 8 6 2 2 3" xfId="11451"/>
    <cellStyle name="Обычный 4 3 8 6 2 3" xfId="11452"/>
    <cellStyle name="Обычный 4 3 8 6 2 4" xfId="11453"/>
    <cellStyle name="Обычный 4 3 8 6 3" xfId="11454"/>
    <cellStyle name="Обычный 4 3 8 6 3 2" xfId="11455"/>
    <cellStyle name="Обычный 4 3 8 6 3 3" xfId="11456"/>
    <cellStyle name="Обычный 4 3 8 6 4" xfId="11457"/>
    <cellStyle name="Обычный 4 3 8 6 5" xfId="11458"/>
    <cellStyle name="Обычный 4 3 8 7" xfId="11459"/>
    <cellStyle name="Обычный 4 3 8 7 2" xfId="11460"/>
    <cellStyle name="Обычный 4 3 8 7 2 2" xfId="11461"/>
    <cellStyle name="Обычный 4 3 8 7 2 3" xfId="11462"/>
    <cellStyle name="Обычный 4 3 8 7 3" xfId="11463"/>
    <cellStyle name="Обычный 4 3 8 7 4" xfId="11464"/>
    <cellStyle name="Обычный 4 3 8 8" xfId="11465"/>
    <cellStyle name="Обычный 4 3 8 8 2" xfId="11466"/>
    <cellStyle name="Обычный 4 3 8 8 3" xfId="11467"/>
    <cellStyle name="Обычный 4 3 8 9" xfId="11468"/>
    <cellStyle name="Обычный 4 3 8_Расчет  30 млн_Технополис  Коренькова" xfId="11469"/>
    <cellStyle name="Обычный 4 3 9" xfId="11470"/>
    <cellStyle name="Обычный 4 3 9 2" xfId="11471"/>
    <cellStyle name="Обычный 4 3 9 2 2" xfId="11472"/>
    <cellStyle name="Обычный 4 3 9 2 2 2" xfId="11473"/>
    <cellStyle name="Обычный 4 3 9 2 2 3" xfId="11474"/>
    <cellStyle name="Обычный 4 3 9 2 3" xfId="11475"/>
    <cellStyle name="Обычный 4 3 9 2 4" xfId="11476"/>
    <cellStyle name="Обычный 4 3 9 3" xfId="11477"/>
    <cellStyle name="Обычный 4 3 9 3 2" xfId="11478"/>
    <cellStyle name="Обычный 4 3 9 3 3" xfId="11479"/>
    <cellStyle name="Обычный 4 3 9 4" xfId="11480"/>
    <cellStyle name="Обычный 4 3 9 5" xfId="11481"/>
    <cellStyle name="Обычный 4 3_1 ВАР. КП 1 293  +8пропорцЛара" xfId="11482"/>
    <cellStyle name="Обычный 4 4" xfId="11483"/>
    <cellStyle name="Обычный 4 5" xfId="11484"/>
    <cellStyle name="Обычный 4 5 2" xfId="11485"/>
    <cellStyle name="Обычный 4 5 3" xfId="11486"/>
    <cellStyle name="Обычный 4 6" xfId="11487"/>
    <cellStyle name="Обычный 4 6 2" xfId="11488"/>
    <cellStyle name="Обычный 4 6 2 2" xfId="11489"/>
    <cellStyle name="Обычный 4 6 2 2 2" xfId="11490"/>
    <cellStyle name="Обычный 4 6 2 2 2 2" xfId="11491"/>
    <cellStyle name="Обычный 4 6 2 2 2 3" xfId="11492"/>
    <cellStyle name="Обычный 4 6 2 2 3" xfId="11493"/>
    <cellStyle name="Обычный 4 6 2 2 4" xfId="11494"/>
    <cellStyle name="Обычный 4 6 2 3" xfId="11495"/>
    <cellStyle name="Обычный 4 6 2 3 2" xfId="11496"/>
    <cellStyle name="Обычный 4 6 2 3 3" xfId="11497"/>
    <cellStyle name="Обычный 4 6 2 4" xfId="11498"/>
    <cellStyle name="Обычный 4 6 2 5" xfId="11499"/>
    <cellStyle name="Обычный 4 6 3" xfId="11500"/>
    <cellStyle name="Обычный 4 6 3 2" xfId="11501"/>
    <cellStyle name="Обычный 4 6 3 2 2" xfId="11502"/>
    <cellStyle name="Обычный 4 6 3 2 3" xfId="11503"/>
    <cellStyle name="Обычный 4 6 3 3" xfId="11504"/>
    <cellStyle name="Обычный 4 6 3 4" xfId="11505"/>
    <cellStyle name="Обычный 4 6 4" xfId="11506"/>
    <cellStyle name="Обычный 4 6 4 2" xfId="11507"/>
    <cellStyle name="Обычный 4 6 4 3" xfId="11508"/>
    <cellStyle name="Обычный 4 6 5" xfId="11509"/>
    <cellStyle name="Обычный 4 6 6" xfId="11510"/>
    <cellStyle name="Обычный 4 6 7" xfId="11511"/>
    <cellStyle name="Обычный 4 6_Расчет  30 млн_Технополис  Коренькова" xfId="11512"/>
    <cellStyle name="Обычный 4 7" xfId="11513"/>
    <cellStyle name="Обычный 4 8" xfId="11514"/>
    <cellStyle name="Обычный 4 9" xfId="11515"/>
    <cellStyle name="Обычный 4 9 2" xfId="11516"/>
    <cellStyle name="Обычный 4 9 2 2" xfId="11517"/>
    <cellStyle name="Обычный 4 9 2 2 2" xfId="11518"/>
    <cellStyle name="Обычный 4 9 2 2 2 2" xfId="11519"/>
    <cellStyle name="Обычный 4 9 2 2 2 3" xfId="11520"/>
    <cellStyle name="Обычный 4 9 2 2 3" xfId="11521"/>
    <cellStyle name="Обычный 4 9 2 2 4" xfId="11522"/>
    <cellStyle name="Обычный 4 9 2 3" xfId="11523"/>
    <cellStyle name="Обычный 4 9 2 3 2" xfId="11524"/>
    <cellStyle name="Обычный 4 9 2 3 3" xfId="11525"/>
    <cellStyle name="Обычный 4 9 2 4" xfId="11526"/>
    <cellStyle name="Обычный 4 9 2 5" xfId="11527"/>
    <cellStyle name="Обычный 4 9 3" xfId="11528"/>
    <cellStyle name="Обычный 4 9 3 2" xfId="11529"/>
    <cellStyle name="Обычный 4 9 3 2 2" xfId="11530"/>
    <cellStyle name="Обычный 4 9 3 2 3" xfId="11531"/>
    <cellStyle name="Обычный 4 9 3 3" xfId="11532"/>
    <cellStyle name="Обычный 4 9 3 4" xfId="11533"/>
    <cellStyle name="Обычный 4 9 4" xfId="11534"/>
    <cellStyle name="Обычный 4 9 4 2" xfId="11535"/>
    <cellStyle name="Обычный 4 9 4 3" xfId="11536"/>
    <cellStyle name="Обычный 4 9 5" xfId="11537"/>
    <cellStyle name="Обычный 4 9 6" xfId="11538"/>
    <cellStyle name="Обычный 4 9_Расчет  30 млн_Технополис  Коренькова" xfId="11539"/>
    <cellStyle name="Обычный 4_Подготовка квартир под чистовую отделку" xfId="11540"/>
    <cellStyle name="Обычный 40" xfId="11541"/>
    <cellStyle name="Обычный 40 2" xfId="11542"/>
    <cellStyle name="Обычный 40 2 2" xfId="11543"/>
    <cellStyle name="Обычный 40 2 2 2" xfId="11544"/>
    <cellStyle name="Обычный 40 2 2 3" xfId="11545"/>
    <cellStyle name="Обычный 40 2 3" xfId="11546"/>
    <cellStyle name="Обычный 40 2 4" xfId="11547"/>
    <cellStyle name="Обычный 40 3" xfId="11548"/>
    <cellStyle name="Обычный 40 3 2" xfId="11549"/>
    <cellStyle name="Обычный 40 3 3" xfId="11550"/>
    <cellStyle name="Обычный 40 4" xfId="11551"/>
    <cellStyle name="Обычный 41" xfId="11552"/>
    <cellStyle name="Обычный 41 2" xfId="11553"/>
    <cellStyle name="Обычный 41 2 2" xfId="11554"/>
    <cellStyle name="Обычный 41 2 2 2" xfId="11555"/>
    <cellStyle name="Обычный 41 2 2 3" xfId="11556"/>
    <cellStyle name="Обычный 41 2 3" xfId="11557"/>
    <cellStyle name="Обычный 41 2 4" xfId="11558"/>
    <cellStyle name="Обычный 41 3" xfId="11559"/>
    <cellStyle name="Обычный 41 3 2" xfId="11560"/>
    <cellStyle name="Обычный 41 4" xfId="11561"/>
    <cellStyle name="Обычный 41 5" xfId="11562"/>
    <cellStyle name="Обычный 42" xfId="11563"/>
    <cellStyle name="Обычный 42 2" xfId="11564"/>
    <cellStyle name="Обычный 42 2 2" xfId="11565"/>
    <cellStyle name="Обычный 42 2 3" xfId="11566"/>
    <cellStyle name="Обычный 42 2 3 2" xfId="11567"/>
    <cellStyle name="Обычный 42 2 4" xfId="11568"/>
    <cellStyle name="Обычный 42 2 5" xfId="11569"/>
    <cellStyle name="Обычный 42 3" xfId="11570"/>
    <cellStyle name="Обычный 42 3 2" xfId="11571"/>
    <cellStyle name="Обычный 42 3 2 2" xfId="11572"/>
    <cellStyle name="Обычный 42 3 2 3" xfId="11573"/>
    <cellStyle name="Обычный 42 3 3" xfId="11574"/>
    <cellStyle name="Обычный 42 3 4" xfId="11575"/>
    <cellStyle name="Обычный 42 4" xfId="11576"/>
    <cellStyle name="Обычный 42 4 2" xfId="11577"/>
    <cellStyle name="Обычный 42 4 2 2" xfId="11578"/>
    <cellStyle name="Обычный 42 4 2 3" xfId="11579"/>
    <cellStyle name="Обычный 42 4 3" xfId="11580"/>
    <cellStyle name="Обычный 42 4 4" xfId="11581"/>
    <cellStyle name="Обычный 42 5" xfId="11582"/>
    <cellStyle name="Обычный 42 5 2" xfId="11583"/>
    <cellStyle name="Обычный 42 5 3" xfId="11584"/>
    <cellStyle name="Обычный 42 6" xfId="11585"/>
    <cellStyle name="Обычный 42 7" xfId="11586"/>
    <cellStyle name="Обычный 42_Расчет  30 млн_Технополис  Коренькова" xfId="11587"/>
    <cellStyle name="Обычный 43" xfId="11588"/>
    <cellStyle name="Обычный 43 2" xfId="11589"/>
    <cellStyle name="Обычный 43 2 2" xfId="11590"/>
    <cellStyle name="Обычный 43 2 3" xfId="11591"/>
    <cellStyle name="Обычный 43 2 3 2" xfId="11592"/>
    <cellStyle name="Обычный 43 2 3 3" xfId="11593"/>
    <cellStyle name="Обычный 43 2 4" xfId="11594"/>
    <cellStyle name="Обычный 43 2 5" xfId="11595"/>
    <cellStyle name="Обычный 43 3" xfId="11596"/>
    <cellStyle name="Обычный 43 3 2" xfId="11597"/>
    <cellStyle name="Обычный 43 3 2 2" xfId="11598"/>
    <cellStyle name="Обычный 43 3 2 3" xfId="11599"/>
    <cellStyle name="Обычный 43 3 3" xfId="11600"/>
    <cellStyle name="Обычный 43 3 4" xfId="11601"/>
    <cellStyle name="Обычный 43 4" xfId="11602"/>
    <cellStyle name="Обычный 43 4 2" xfId="11603"/>
    <cellStyle name="Обычный 43 4 3" xfId="11604"/>
    <cellStyle name="Обычный 43 5" xfId="11605"/>
    <cellStyle name="Обычный 43 6" xfId="11606"/>
    <cellStyle name="Обычный 44" xfId="11607"/>
    <cellStyle name="Обычный 44 2" xfId="11608"/>
    <cellStyle name="Обычный 44 3" xfId="11609"/>
    <cellStyle name="Обычный 45" xfId="11610"/>
    <cellStyle name="Обычный 45 2" xfId="11611"/>
    <cellStyle name="Обычный 45 3" xfId="11612"/>
    <cellStyle name="Обычный 45 3 2" xfId="11613"/>
    <cellStyle name="Обычный 45 3 2 2" xfId="11614"/>
    <cellStyle name="Обычный 45 3 2 3" xfId="11615"/>
    <cellStyle name="Обычный 45 3 3" xfId="11616"/>
    <cellStyle name="Обычный 45 3 4" xfId="11617"/>
    <cellStyle name="Обычный 45 4" xfId="11618"/>
    <cellStyle name="Обычный 45 5" xfId="11619"/>
    <cellStyle name="Обычный 46" xfId="11620"/>
    <cellStyle name="Обычный 46 2" xfId="11621"/>
    <cellStyle name="Обычный 46 3" xfId="11622"/>
    <cellStyle name="Обычный 46 4" xfId="11623"/>
    <cellStyle name="Обычный 47" xfId="11624"/>
    <cellStyle name="Обычный 47 2" xfId="11625"/>
    <cellStyle name="Обычный 47 3" xfId="11626"/>
    <cellStyle name="Обычный 47 4" xfId="11627"/>
    <cellStyle name="Обычный 48" xfId="11628"/>
    <cellStyle name="Обычный 48 2" xfId="11629"/>
    <cellStyle name="Обычный 48 3" xfId="11630"/>
    <cellStyle name="Обычный 48 4" xfId="11631"/>
    <cellStyle name="Обычный 48 5" xfId="11632"/>
    <cellStyle name="Обычный 49" xfId="11633"/>
    <cellStyle name="Обычный 49 2" xfId="11634"/>
    <cellStyle name="Обычный 49 2 2" xfId="11635"/>
    <cellStyle name="Обычный 49 2 2 2" xfId="11636"/>
    <cellStyle name="Обычный 49 2 2 3" xfId="11637"/>
    <cellStyle name="Обычный 49 2 3" xfId="11638"/>
    <cellStyle name="Обычный 49 2 4" xfId="11639"/>
    <cellStyle name="Обычный 49 3" xfId="11640"/>
    <cellStyle name="Обычный 49 3 2" xfId="11641"/>
    <cellStyle name="Обычный 49 3 3" xfId="11642"/>
    <cellStyle name="Обычный 49 4" xfId="11643"/>
    <cellStyle name="Обычный 49 5" xfId="11644"/>
    <cellStyle name="Обычный 5" xfId="11645"/>
    <cellStyle name="Обычный 5 2" xfId="11646"/>
    <cellStyle name="Обычный 5 2 2" xfId="11647"/>
    <cellStyle name="Обычный 5 3" xfId="11648"/>
    <cellStyle name="Обычный 5 3 2" xfId="11649"/>
    <cellStyle name="Обычный 5 3 3" xfId="11650"/>
    <cellStyle name="Обычный 5 4" xfId="11651"/>
    <cellStyle name="Обычный 5 4 2" xfId="11652"/>
    <cellStyle name="Обычный 5 4 3" xfId="11653"/>
    <cellStyle name="Обычный 5 5" xfId="11654"/>
    <cellStyle name="Обычный 5 6" xfId="11655"/>
    <cellStyle name="Обычный 5 7" xfId="11656"/>
    <cellStyle name="Обычный 5 8" xfId="11657"/>
    <cellStyle name="Обычный 5 9" xfId="19976"/>
    <cellStyle name="Обычный 5_благ ласточка" xfId="11658"/>
    <cellStyle name="Обычный 50" xfId="11659"/>
    <cellStyle name="Обычный 50 2" xfId="11660"/>
    <cellStyle name="Обычный 50 3" xfId="11661"/>
    <cellStyle name="Обычный 50 4" xfId="11662"/>
    <cellStyle name="Обычный 51" xfId="11663"/>
    <cellStyle name="Обычный 51 2" xfId="11664"/>
    <cellStyle name="Обычный 51 2 2" xfId="11665"/>
    <cellStyle name="Обычный 51 2 2 2" xfId="11666"/>
    <cellStyle name="Обычный 51 2 2 3" xfId="11667"/>
    <cellStyle name="Обычный 51 2 3" xfId="11668"/>
    <cellStyle name="Обычный 51 2 4" xfId="11669"/>
    <cellStyle name="Обычный 51 3" xfId="11670"/>
    <cellStyle name="Обычный 51 3 2" xfId="11671"/>
    <cellStyle name="Обычный 51 3 2 2" xfId="11672"/>
    <cellStyle name="Обычный 51 3 2 3" xfId="11673"/>
    <cellStyle name="Обычный 51 3 3" xfId="11674"/>
    <cellStyle name="Обычный 51 3 3 2" xfId="11675"/>
    <cellStyle name="Обычный 51 3 4" xfId="11676"/>
    <cellStyle name="Обычный 51 3 5" xfId="11677"/>
    <cellStyle name="Обычный 51 4" xfId="11678"/>
    <cellStyle name="Обычный 51 4 2" xfId="11679"/>
    <cellStyle name="Обычный 51 4 2 2" xfId="11680"/>
    <cellStyle name="Обычный 51 4 2 3" xfId="11681"/>
    <cellStyle name="Обычный 51 4 3" xfId="11682"/>
    <cellStyle name="Обычный 51 4 4" xfId="11683"/>
    <cellStyle name="Обычный 51 5" xfId="11684"/>
    <cellStyle name="Обычный 51 5 2" xfId="11685"/>
    <cellStyle name="Обычный 51 5 3" xfId="11686"/>
    <cellStyle name="Обычный 51 6" xfId="11687"/>
    <cellStyle name="Обычный 51 6 2" xfId="11688"/>
    <cellStyle name="Обычный 51 6 3" xfId="11689"/>
    <cellStyle name="Обычный 51 7" xfId="11690"/>
    <cellStyle name="Обычный 51 7 2" xfId="11691"/>
    <cellStyle name="Обычный 51 8" xfId="11692"/>
    <cellStyle name="Обычный 51 9" xfId="11693"/>
    <cellStyle name="Обычный 52" xfId="11694"/>
    <cellStyle name="Обычный 52 2" xfId="11695"/>
    <cellStyle name="Обычный 52 3" xfId="11696"/>
    <cellStyle name="Обычный 53" xfId="11697"/>
    <cellStyle name="Обычный 53 2" xfId="11698"/>
    <cellStyle name="Обычный 53 2 2" xfId="11699"/>
    <cellStyle name="Обычный 53 2 3" xfId="11700"/>
    <cellStyle name="Обычный 53 3" xfId="11701"/>
    <cellStyle name="Обычный 53 4" xfId="11702"/>
    <cellStyle name="Обычный 54" xfId="11703"/>
    <cellStyle name="Обычный 54 2" xfId="11704"/>
    <cellStyle name="Обычный 54 3" xfId="11705"/>
    <cellStyle name="Обычный 55" xfId="11706"/>
    <cellStyle name="Обычный 55 2" xfId="11707"/>
    <cellStyle name="Обычный 55 2 2" xfId="11708"/>
    <cellStyle name="Обычный 55 2 3" xfId="11709"/>
    <cellStyle name="Обычный 55 3" xfId="11710"/>
    <cellStyle name="Обычный 55 4" xfId="11711"/>
    <cellStyle name="Обычный 56" xfId="11712"/>
    <cellStyle name="Обычный 56 2" xfId="11713"/>
    <cellStyle name="Обычный 56 2 2" xfId="11714"/>
    <cellStyle name="Обычный 56 2 3" xfId="11715"/>
    <cellStyle name="Обычный 56 3" xfId="11716"/>
    <cellStyle name="Обычный 56 4" xfId="11717"/>
    <cellStyle name="Обычный 57" xfId="11718"/>
    <cellStyle name="Обычный 57 2" xfId="11719"/>
    <cellStyle name="Обычный 57 2 2" xfId="11720"/>
    <cellStyle name="Обычный 57 2 3" xfId="11721"/>
    <cellStyle name="Обычный 58" xfId="11722"/>
    <cellStyle name="Обычный 59" xfId="11723"/>
    <cellStyle name="Обычный 59 2" xfId="11724"/>
    <cellStyle name="Обычный 59 2 2" xfId="11725"/>
    <cellStyle name="Обычный 59 2 3" xfId="11726"/>
    <cellStyle name="Обычный 59 3" xfId="11727"/>
    <cellStyle name="Обычный 59 3 2" xfId="11728"/>
    <cellStyle name="Обычный 59 4" xfId="11729"/>
    <cellStyle name="Обычный 59 5" xfId="11730"/>
    <cellStyle name="Обычный 6" xfId="11731"/>
    <cellStyle name="Обычный 6 2" xfId="11732"/>
    <cellStyle name="Обычный 6 2 2" xfId="11733"/>
    <cellStyle name="Обычный 6 3" xfId="11734"/>
    <cellStyle name="Обычный 6 3 2" xfId="11735"/>
    <cellStyle name="Обычный 6 3 3" xfId="11736"/>
    <cellStyle name="Обычный 6 4" xfId="11737"/>
    <cellStyle name="Обычный 6_Доп Калькуляции кровля 2013год" xfId="11738"/>
    <cellStyle name="Обычный 60" xfId="11739"/>
    <cellStyle name="Обычный 60 2" xfId="11740"/>
    <cellStyle name="Обычный 61" xfId="11741"/>
    <cellStyle name="Обычный 61 2" xfId="11742"/>
    <cellStyle name="Обычный 61 2 2" xfId="11743"/>
    <cellStyle name="Обычный 61 2 2 2" xfId="11744"/>
    <cellStyle name="Обычный 61 2 2 3" xfId="11745"/>
    <cellStyle name="Обычный 61 2 3" xfId="11746"/>
    <cellStyle name="Обычный 61 2 4" xfId="11747"/>
    <cellStyle name="Обычный 61 3" xfId="11748"/>
    <cellStyle name="Обычный 61 3 2" xfId="11749"/>
    <cellStyle name="Обычный 61 3 3" xfId="11750"/>
    <cellStyle name="Обычный 61 4" xfId="11751"/>
    <cellStyle name="Обычный 62" xfId="11752"/>
    <cellStyle name="Обычный 62 2" xfId="11753"/>
    <cellStyle name="Обычный 62 3" xfId="11754"/>
    <cellStyle name="Обычный 62 4" xfId="11755"/>
    <cellStyle name="Обычный 63" xfId="11756"/>
    <cellStyle name="Обычный 63 2" xfId="11757"/>
    <cellStyle name="Обычный 63 3" xfId="11758"/>
    <cellStyle name="Обычный 63 4" xfId="11759"/>
    <cellStyle name="Обычный 63 5" xfId="11760"/>
    <cellStyle name="Обычный 64" xfId="11761"/>
    <cellStyle name="Обычный 64 2" xfId="11762"/>
    <cellStyle name="Обычный 64 2 2" xfId="11763"/>
    <cellStyle name="Обычный 64 2 3" xfId="11764"/>
    <cellStyle name="Обычный 64 3" xfId="11765"/>
    <cellStyle name="Обычный 64 4" xfId="11766"/>
    <cellStyle name="Обычный 65" xfId="11767"/>
    <cellStyle name="Обычный 65 2" xfId="11768"/>
    <cellStyle name="Обычный 65 3" xfId="11769"/>
    <cellStyle name="Обычный 65 4" xfId="11770"/>
    <cellStyle name="Обычный 66" xfId="11771"/>
    <cellStyle name="Обычный 66 2" xfId="11772"/>
    <cellStyle name="Обычный 66 2 2" xfId="11773"/>
    <cellStyle name="Обычный 66 2 3" xfId="11774"/>
    <cellStyle name="Обычный 66 3" xfId="11775"/>
    <cellStyle name="Обычный 66 4" xfId="11776"/>
    <cellStyle name="Обычный 67" xfId="11777"/>
    <cellStyle name="Обычный 67 2" xfId="11778"/>
    <cellStyle name="Обычный 67 3" xfId="11779"/>
    <cellStyle name="Обычный 68" xfId="11780"/>
    <cellStyle name="Обычный 68 2" xfId="11781"/>
    <cellStyle name="Обычный 68 3" xfId="11782"/>
    <cellStyle name="Обычный 69" xfId="11783"/>
    <cellStyle name="Обычный 69 2" xfId="11784"/>
    <cellStyle name="Обычный 69 3" xfId="11785"/>
    <cellStyle name="Обычный 7" xfId="11786"/>
    <cellStyle name="Обычный 7 10" xfId="11787"/>
    <cellStyle name="Обычный 7 10 2" xfId="11788"/>
    <cellStyle name="Обычный 7 10 2 2" xfId="11789"/>
    <cellStyle name="Обычный 7 10 2 2 2" xfId="11790"/>
    <cellStyle name="Обычный 7 10 2 2 3" xfId="11791"/>
    <cellStyle name="Обычный 7 10 2 3" xfId="11792"/>
    <cellStyle name="Обычный 7 10 2 4" xfId="11793"/>
    <cellStyle name="Обычный 7 10 3" xfId="11794"/>
    <cellStyle name="Обычный 7 10 3 2" xfId="11795"/>
    <cellStyle name="Обычный 7 10 3 3" xfId="11796"/>
    <cellStyle name="Обычный 7 10 4" xfId="11797"/>
    <cellStyle name="Обычный 7 10 5" xfId="11798"/>
    <cellStyle name="Обычный 7 11" xfId="11799"/>
    <cellStyle name="Обычный 7 11 2" xfId="11800"/>
    <cellStyle name="Обычный 7 11 2 2" xfId="11801"/>
    <cellStyle name="Обычный 7 11 2 2 2" xfId="11802"/>
    <cellStyle name="Обычный 7 11 2 2 3" xfId="11803"/>
    <cellStyle name="Обычный 7 11 2 3" xfId="11804"/>
    <cellStyle name="Обычный 7 11 2 4" xfId="11805"/>
    <cellStyle name="Обычный 7 11 3" xfId="11806"/>
    <cellStyle name="Обычный 7 11 3 2" xfId="11807"/>
    <cellStyle name="Обычный 7 11 3 3" xfId="11808"/>
    <cellStyle name="Обычный 7 11 4" xfId="11809"/>
    <cellStyle name="Обычный 7 11 5" xfId="11810"/>
    <cellStyle name="Обычный 7 12" xfId="11811"/>
    <cellStyle name="Обычный 7 12 2" xfId="11812"/>
    <cellStyle name="Обычный 7 12 2 2" xfId="11813"/>
    <cellStyle name="Обычный 7 12 2 2 2" xfId="11814"/>
    <cellStyle name="Обычный 7 12 2 2 3" xfId="11815"/>
    <cellStyle name="Обычный 7 12 2 3" xfId="11816"/>
    <cellStyle name="Обычный 7 12 2 4" xfId="11817"/>
    <cellStyle name="Обычный 7 12 3" xfId="11818"/>
    <cellStyle name="Обычный 7 12 3 2" xfId="11819"/>
    <cellStyle name="Обычный 7 12 3 3" xfId="11820"/>
    <cellStyle name="Обычный 7 12 4" xfId="11821"/>
    <cellStyle name="Обычный 7 12 5" xfId="11822"/>
    <cellStyle name="Обычный 7 13" xfId="11823"/>
    <cellStyle name="Обычный 7 13 2" xfId="11824"/>
    <cellStyle name="Обычный 7 13 2 2" xfId="11825"/>
    <cellStyle name="Обычный 7 13 2 2 2" xfId="11826"/>
    <cellStyle name="Обычный 7 13 2 2 3" xfId="11827"/>
    <cellStyle name="Обычный 7 13 2 3" xfId="11828"/>
    <cellStyle name="Обычный 7 13 2 4" xfId="11829"/>
    <cellStyle name="Обычный 7 13 3" xfId="11830"/>
    <cellStyle name="Обычный 7 13 3 2" xfId="11831"/>
    <cellStyle name="Обычный 7 13 3 3" xfId="11832"/>
    <cellStyle name="Обычный 7 13 4" xfId="11833"/>
    <cellStyle name="Обычный 7 13 5" xfId="11834"/>
    <cellStyle name="Обычный 7 14" xfId="11835"/>
    <cellStyle name="Обычный 7 14 2" xfId="11836"/>
    <cellStyle name="Обычный 7 14 2 2" xfId="11837"/>
    <cellStyle name="Обычный 7 14 2 3" xfId="11838"/>
    <cellStyle name="Обычный 7 14 3" xfId="11839"/>
    <cellStyle name="Обычный 7 14 4" xfId="11840"/>
    <cellStyle name="Обычный 7 15" xfId="11841"/>
    <cellStyle name="Обычный 7 15 2" xfId="11842"/>
    <cellStyle name="Обычный 7 15 3" xfId="11843"/>
    <cellStyle name="Обычный 7 16" xfId="11844"/>
    <cellStyle name="Обычный 7 17" xfId="11845"/>
    <cellStyle name="Обычный 7 2" xfId="11846"/>
    <cellStyle name="Обычный 7 2 10" xfId="11847"/>
    <cellStyle name="Обычный 7 2 10 2" xfId="11848"/>
    <cellStyle name="Обычный 7 2 10 2 2" xfId="11849"/>
    <cellStyle name="Обычный 7 2 10 2 3" xfId="11850"/>
    <cellStyle name="Обычный 7 2 10 3" xfId="11851"/>
    <cellStyle name="Обычный 7 2 10 4" xfId="11852"/>
    <cellStyle name="Обычный 7 2 11" xfId="11853"/>
    <cellStyle name="Обычный 7 2 11 2" xfId="11854"/>
    <cellStyle name="Обычный 7 2 11 3" xfId="11855"/>
    <cellStyle name="Обычный 7 2 12" xfId="11856"/>
    <cellStyle name="Обычный 7 2 13" xfId="11857"/>
    <cellStyle name="Обычный 7 2 2" xfId="11858"/>
    <cellStyle name="Обычный 7 2 2 10" xfId="11859"/>
    <cellStyle name="Обычный 7 2 2 2" xfId="11860"/>
    <cellStyle name="Обычный 7 2 2 2 2" xfId="11861"/>
    <cellStyle name="Обычный 7 2 2 2 2 2" xfId="11862"/>
    <cellStyle name="Обычный 7 2 2 2 2 2 2" xfId="11863"/>
    <cellStyle name="Обычный 7 2 2 2 2 2 3" xfId="11864"/>
    <cellStyle name="Обычный 7 2 2 2 2 3" xfId="11865"/>
    <cellStyle name="Обычный 7 2 2 2 2 4" xfId="11866"/>
    <cellStyle name="Обычный 7 2 2 2 3" xfId="11867"/>
    <cellStyle name="Обычный 7 2 2 2 3 2" xfId="11868"/>
    <cellStyle name="Обычный 7 2 2 2 3 3" xfId="11869"/>
    <cellStyle name="Обычный 7 2 2 2 4" xfId="11870"/>
    <cellStyle name="Обычный 7 2 2 2 5" xfId="11871"/>
    <cellStyle name="Обычный 7 2 2 3" xfId="11872"/>
    <cellStyle name="Обычный 7 2 2 3 2" xfId="11873"/>
    <cellStyle name="Обычный 7 2 2 3 2 2" xfId="11874"/>
    <cellStyle name="Обычный 7 2 2 3 2 2 2" xfId="11875"/>
    <cellStyle name="Обычный 7 2 2 3 2 2 3" xfId="11876"/>
    <cellStyle name="Обычный 7 2 2 3 2 3" xfId="11877"/>
    <cellStyle name="Обычный 7 2 2 3 2 4" xfId="11878"/>
    <cellStyle name="Обычный 7 2 2 3 3" xfId="11879"/>
    <cellStyle name="Обычный 7 2 2 3 3 2" xfId="11880"/>
    <cellStyle name="Обычный 7 2 2 3 3 3" xfId="11881"/>
    <cellStyle name="Обычный 7 2 2 3 4" xfId="11882"/>
    <cellStyle name="Обычный 7 2 2 3 5" xfId="11883"/>
    <cellStyle name="Обычный 7 2 2 4" xfId="11884"/>
    <cellStyle name="Обычный 7 2 2 4 2" xfId="11885"/>
    <cellStyle name="Обычный 7 2 2 4 2 2" xfId="11886"/>
    <cellStyle name="Обычный 7 2 2 4 2 2 2" xfId="11887"/>
    <cellStyle name="Обычный 7 2 2 4 2 2 3" xfId="11888"/>
    <cellStyle name="Обычный 7 2 2 4 2 3" xfId="11889"/>
    <cellStyle name="Обычный 7 2 2 4 2 4" xfId="11890"/>
    <cellStyle name="Обычный 7 2 2 4 3" xfId="11891"/>
    <cellStyle name="Обычный 7 2 2 4 3 2" xfId="11892"/>
    <cellStyle name="Обычный 7 2 2 4 3 3" xfId="11893"/>
    <cellStyle name="Обычный 7 2 2 4 4" xfId="11894"/>
    <cellStyle name="Обычный 7 2 2 4 5" xfId="11895"/>
    <cellStyle name="Обычный 7 2 2 5" xfId="11896"/>
    <cellStyle name="Обычный 7 2 2 5 2" xfId="11897"/>
    <cellStyle name="Обычный 7 2 2 5 2 2" xfId="11898"/>
    <cellStyle name="Обычный 7 2 2 5 2 2 2" xfId="11899"/>
    <cellStyle name="Обычный 7 2 2 5 2 2 3" xfId="11900"/>
    <cellStyle name="Обычный 7 2 2 5 2 3" xfId="11901"/>
    <cellStyle name="Обычный 7 2 2 5 2 4" xfId="11902"/>
    <cellStyle name="Обычный 7 2 2 5 3" xfId="11903"/>
    <cellStyle name="Обычный 7 2 2 5 3 2" xfId="11904"/>
    <cellStyle name="Обычный 7 2 2 5 3 3" xfId="11905"/>
    <cellStyle name="Обычный 7 2 2 5 4" xfId="11906"/>
    <cellStyle name="Обычный 7 2 2 5 5" xfId="11907"/>
    <cellStyle name="Обычный 7 2 2 6" xfId="11908"/>
    <cellStyle name="Обычный 7 2 2 6 2" xfId="11909"/>
    <cellStyle name="Обычный 7 2 2 6 2 2" xfId="11910"/>
    <cellStyle name="Обычный 7 2 2 6 2 2 2" xfId="11911"/>
    <cellStyle name="Обычный 7 2 2 6 2 2 3" xfId="11912"/>
    <cellStyle name="Обычный 7 2 2 6 2 3" xfId="11913"/>
    <cellStyle name="Обычный 7 2 2 6 2 4" xfId="11914"/>
    <cellStyle name="Обычный 7 2 2 6 3" xfId="11915"/>
    <cellStyle name="Обычный 7 2 2 6 3 2" xfId="11916"/>
    <cellStyle name="Обычный 7 2 2 6 3 3" xfId="11917"/>
    <cellStyle name="Обычный 7 2 2 6 4" xfId="11918"/>
    <cellStyle name="Обычный 7 2 2 6 5" xfId="11919"/>
    <cellStyle name="Обычный 7 2 2 7" xfId="11920"/>
    <cellStyle name="Обычный 7 2 2 7 2" xfId="11921"/>
    <cellStyle name="Обычный 7 2 2 7 2 2" xfId="11922"/>
    <cellStyle name="Обычный 7 2 2 7 2 3" xfId="11923"/>
    <cellStyle name="Обычный 7 2 2 7 3" xfId="11924"/>
    <cellStyle name="Обычный 7 2 2 7 4" xfId="11925"/>
    <cellStyle name="Обычный 7 2 2 8" xfId="11926"/>
    <cellStyle name="Обычный 7 2 2 8 2" xfId="11927"/>
    <cellStyle name="Обычный 7 2 2 8 3" xfId="11928"/>
    <cellStyle name="Обычный 7 2 2 9" xfId="11929"/>
    <cellStyle name="Обычный 7 2 2_Расчет  30 млн_Технополис  Коренькова" xfId="11930"/>
    <cellStyle name="Обычный 7 2 3" xfId="11931"/>
    <cellStyle name="Обычный 7 2 3 10" xfId="11932"/>
    <cellStyle name="Обычный 7 2 3 2" xfId="11933"/>
    <cellStyle name="Обычный 7 2 3 2 2" xfId="11934"/>
    <cellStyle name="Обычный 7 2 3 2 2 2" xfId="11935"/>
    <cellStyle name="Обычный 7 2 3 2 2 2 2" xfId="11936"/>
    <cellStyle name="Обычный 7 2 3 2 2 2 3" xfId="11937"/>
    <cellStyle name="Обычный 7 2 3 2 2 3" xfId="11938"/>
    <cellStyle name="Обычный 7 2 3 2 2 4" xfId="11939"/>
    <cellStyle name="Обычный 7 2 3 2 3" xfId="11940"/>
    <cellStyle name="Обычный 7 2 3 2 3 2" xfId="11941"/>
    <cellStyle name="Обычный 7 2 3 2 3 3" xfId="11942"/>
    <cellStyle name="Обычный 7 2 3 2 4" xfId="11943"/>
    <cellStyle name="Обычный 7 2 3 2 5" xfId="11944"/>
    <cellStyle name="Обычный 7 2 3 3" xfId="11945"/>
    <cellStyle name="Обычный 7 2 3 3 2" xfId="11946"/>
    <cellStyle name="Обычный 7 2 3 3 2 2" xfId="11947"/>
    <cellStyle name="Обычный 7 2 3 3 2 2 2" xfId="11948"/>
    <cellStyle name="Обычный 7 2 3 3 2 2 3" xfId="11949"/>
    <cellStyle name="Обычный 7 2 3 3 2 3" xfId="11950"/>
    <cellStyle name="Обычный 7 2 3 3 2 4" xfId="11951"/>
    <cellStyle name="Обычный 7 2 3 3 3" xfId="11952"/>
    <cellStyle name="Обычный 7 2 3 3 3 2" xfId="11953"/>
    <cellStyle name="Обычный 7 2 3 3 3 3" xfId="11954"/>
    <cellStyle name="Обычный 7 2 3 3 4" xfId="11955"/>
    <cellStyle name="Обычный 7 2 3 3 5" xfId="11956"/>
    <cellStyle name="Обычный 7 2 3 4" xfId="11957"/>
    <cellStyle name="Обычный 7 2 3 4 2" xfId="11958"/>
    <cellStyle name="Обычный 7 2 3 4 2 2" xfId="11959"/>
    <cellStyle name="Обычный 7 2 3 4 2 2 2" xfId="11960"/>
    <cellStyle name="Обычный 7 2 3 4 2 2 3" xfId="11961"/>
    <cellStyle name="Обычный 7 2 3 4 2 3" xfId="11962"/>
    <cellStyle name="Обычный 7 2 3 4 2 4" xfId="11963"/>
    <cellStyle name="Обычный 7 2 3 4 3" xfId="11964"/>
    <cellStyle name="Обычный 7 2 3 4 3 2" xfId="11965"/>
    <cellStyle name="Обычный 7 2 3 4 3 3" xfId="11966"/>
    <cellStyle name="Обычный 7 2 3 4 4" xfId="11967"/>
    <cellStyle name="Обычный 7 2 3 4 5" xfId="11968"/>
    <cellStyle name="Обычный 7 2 3 5" xfId="11969"/>
    <cellStyle name="Обычный 7 2 3 5 2" xfId="11970"/>
    <cellStyle name="Обычный 7 2 3 5 2 2" xfId="11971"/>
    <cellStyle name="Обычный 7 2 3 5 2 2 2" xfId="11972"/>
    <cellStyle name="Обычный 7 2 3 5 2 2 3" xfId="11973"/>
    <cellStyle name="Обычный 7 2 3 5 2 3" xfId="11974"/>
    <cellStyle name="Обычный 7 2 3 5 2 4" xfId="11975"/>
    <cellStyle name="Обычный 7 2 3 5 3" xfId="11976"/>
    <cellStyle name="Обычный 7 2 3 5 3 2" xfId="11977"/>
    <cellStyle name="Обычный 7 2 3 5 3 3" xfId="11978"/>
    <cellStyle name="Обычный 7 2 3 5 4" xfId="11979"/>
    <cellStyle name="Обычный 7 2 3 5 5" xfId="11980"/>
    <cellStyle name="Обычный 7 2 3 6" xfId="11981"/>
    <cellStyle name="Обычный 7 2 3 6 2" xfId="11982"/>
    <cellStyle name="Обычный 7 2 3 6 2 2" xfId="11983"/>
    <cellStyle name="Обычный 7 2 3 6 2 2 2" xfId="11984"/>
    <cellStyle name="Обычный 7 2 3 6 2 2 3" xfId="11985"/>
    <cellStyle name="Обычный 7 2 3 6 2 3" xfId="11986"/>
    <cellStyle name="Обычный 7 2 3 6 2 4" xfId="11987"/>
    <cellStyle name="Обычный 7 2 3 6 3" xfId="11988"/>
    <cellStyle name="Обычный 7 2 3 6 3 2" xfId="11989"/>
    <cellStyle name="Обычный 7 2 3 6 3 3" xfId="11990"/>
    <cellStyle name="Обычный 7 2 3 6 4" xfId="11991"/>
    <cellStyle name="Обычный 7 2 3 6 5" xfId="11992"/>
    <cellStyle name="Обычный 7 2 3 7" xfId="11993"/>
    <cellStyle name="Обычный 7 2 3 7 2" xfId="11994"/>
    <cellStyle name="Обычный 7 2 3 7 2 2" xfId="11995"/>
    <cellStyle name="Обычный 7 2 3 7 2 3" xfId="11996"/>
    <cellStyle name="Обычный 7 2 3 7 3" xfId="11997"/>
    <cellStyle name="Обычный 7 2 3 7 4" xfId="11998"/>
    <cellStyle name="Обычный 7 2 3 8" xfId="11999"/>
    <cellStyle name="Обычный 7 2 3 8 2" xfId="12000"/>
    <cellStyle name="Обычный 7 2 3 8 3" xfId="12001"/>
    <cellStyle name="Обычный 7 2 3 9" xfId="12002"/>
    <cellStyle name="Обычный 7 2 3_Расчет  30 млн_Технополис  Коренькова" xfId="12003"/>
    <cellStyle name="Обычный 7 2 4" xfId="12004"/>
    <cellStyle name="Обычный 7 2 4 10" xfId="12005"/>
    <cellStyle name="Обычный 7 2 4 2" xfId="12006"/>
    <cellStyle name="Обычный 7 2 4 2 2" xfId="12007"/>
    <cellStyle name="Обычный 7 2 4 2 2 2" xfId="12008"/>
    <cellStyle name="Обычный 7 2 4 2 3" xfId="12009"/>
    <cellStyle name="Обычный 7 2 4 3" xfId="12010"/>
    <cellStyle name="Обычный 7 2 4 3 2" xfId="12011"/>
    <cellStyle name="Обычный 7 2 4 3 2 2" xfId="12012"/>
    <cellStyle name="Обычный 7 2 4 3 2 2 2" xfId="12013"/>
    <cellStyle name="Обычный 7 2 4 3 2 2 3" xfId="12014"/>
    <cellStyle name="Обычный 7 2 4 3 2 3" xfId="12015"/>
    <cellStyle name="Обычный 7 2 4 3 2 4" xfId="12016"/>
    <cellStyle name="Обычный 7 2 4 3 3" xfId="12017"/>
    <cellStyle name="Обычный 7 2 4 3 3 2" xfId="12018"/>
    <cellStyle name="Обычный 7 2 4 3 3 3" xfId="12019"/>
    <cellStyle name="Обычный 7 2 4 3 4" xfId="12020"/>
    <cellStyle name="Обычный 7 2 4 3 5" xfId="12021"/>
    <cellStyle name="Обычный 7 2 4 4" xfId="12022"/>
    <cellStyle name="Обычный 7 2 4 4 2" xfId="12023"/>
    <cellStyle name="Обычный 7 2 4 4 2 2" xfId="12024"/>
    <cellStyle name="Обычный 7 2 4 4 2 2 2" xfId="12025"/>
    <cellStyle name="Обычный 7 2 4 4 2 2 3" xfId="12026"/>
    <cellStyle name="Обычный 7 2 4 4 2 3" xfId="12027"/>
    <cellStyle name="Обычный 7 2 4 4 2 4" xfId="12028"/>
    <cellStyle name="Обычный 7 2 4 4 3" xfId="12029"/>
    <cellStyle name="Обычный 7 2 4 4 3 2" xfId="12030"/>
    <cellStyle name="Обычный 7 2 4 4 3 3" xfId="12031"/>
    <cellStyle name="Обычный 7 2 4 4 4" xfId="12032"/>
    <cellStyle name="Обычный 7 2 4 4 5" xfId="12033"/>
    <cellStyle name="Обычный 7 2 4 5" xfId="12034"/>
    <cellStyle name="Обычный 7 2 4 5 2" xfId="12035"/>
    <cellStyle name="Обычный 7 2 4 5 2 2" xfId="12036"/>
    <cellStyle name="Обычный 7 2 4 5 2 2 2" xfId="12037"/>
    <cellStyle name="Обычный 7 2 4 5 2 2 3" xfId="12038"/>
    <cellStyle name="Обычный 7 2 4 5 2 3" xfId="12039"/>
    <cellStyle name="Обычный 7 2 4 5 2 4" xfId="12040"/>
    <cellStyle name="Обычный 7 2 4 5 3" xfId="12041"/>
    <cellStyle name="Обычный 7 2 4 5 3 2" xfId="12042"/>
    <cellStyle name="Обычный 7 2 4 5 3 3" xfId="12043"/>
    <cellStyle name="Обычный 7 2 4 5 4" xfId="12044"/>
    <cellStyle name="Обычный 7 2 4 5 5" xfId="12045"/>
    <cellStyle name="Обычный 7 2 4 6" xfId="12046"/>
    <cellStyle name="Обычный 7 2 4 6 2" xfId="12047"/>
    <cellStyle name="Обычный 7 2 4 6 2 2" xfId="12048"/>
    <cellStyle name="Обычный 7 2 4 6 2 2 2" xfId="12049"/>
    <cellStyle name="Обычный 7 2 4 6 2 2 3" xfId="12050"/>
    <cellStyle name="Обычный 7 2 4 6 2 3" xfId="12051"/>
    <cellStyle name="Обычный 7 2 4 6 2 4" xfId="12052"/>
    <cellStyle name="Обычный 7 2 4 6 3" xfId="12053"/>
    <cellStyle name="Обычный 7 2 4 6 3 2" xfId="12054"/>
    <cellStyle name="Обычный 7 2 4 6 3 3" xfId="12055"/>
    <cellStyle name="Обычный 7 2 4 6 4" xfId="12056"/>
    <cellStyle name="Обычный 7 2 4 6 5" xfId="12057"/>
    <cellStyle name="Обычный 7 2 4 7" xfId="12058"/>
    <cellStyle name="Обычный 7 2 4 7 2" xfId="12059"/>
    <cellStyle name="Обычный 7 2 4 7 2 2" xfId="12060"/>
    <cellStyle name="Обычный 7 2 4 7 2 3" xfId="12061"/>
    <cellStyle name="Обычный 7 2 4 7 3" xfId="12062"/>
    <cellStyle name="Обычный 7 2 4 7 4" xfId="12063"/>
    <cellStyle name="Обычный 7 2 4 8" xfId="12064"/>
    <cellStyle name="Обычный 7 2 4 8 2" xfId="12065"/>
    <cellStyle name="Обычный 7 2 4 8 3" xfId="12066"/>
    <cellStyle name="Обычный 7 2 4 9" xfId="12067"/>
    <cellStyle name="Обычный 7 2 4_Расчет  30 млн_Технополис  Коренькова" xfId="12068"/>
    <cellStyle name="Обычный 7 2 5" xfId="12069"/>
    <cellStyle name="Обычный 7 2 5 2" xfId="12070"/>
    <cellStyle name="Обычный 7 2 5 2 2" xfId="12071"/>
    <cellStyle name="Обычный 7 2 5 2 2 2" xfId="12072"/>
    <cellStyle name="Обычный 7 2 5 2 2 3" xfId="12073"/>
    <cellStyle name="Обычный 7 2 5 2 3" xfId="12074"/>
    <cellStyle name="Обычный 7 2 5 2 4" xfId="12075"/>
    <cellStyle name="Обычный 7 2 5 3" xfId="12076"/>
    <cellStyle name="Обычный 7 2 5 3 2" xfId="12077"/>
    <cellStyle name="Обычный 7 2 5 3 3" xfId="12078"/>
    <cellStyle name="Обычный 7 2 5 4" xfId="12079"/>
    <cellStyle name="Обычный 7 2 5 5" xfId="12080"/>
    <cellStyle name="Обычный 7 2 6" xfId="12081"/>
    <cellStyle name="Обычный 7 2 6 2" xfId="12082"/>
    <cellStyle name="Обычный 7 2 6 2 2" xfId="12083"/>
    <cellStyle name="Обычный 7 2 6 2 2 2" xfId="12084"/>
    <cellStyle name="Обычный 7 2 6 2 2 3" xfId="12085"/>
    <cellStyle name="Обычный 7 2 6 2 3" xfId="12086"/>
    <cellStyle name="Обычный 7 2 6 2 4" xfId="12087"/>
    <cellStyle name="Обычный 7 2 6 3" xfId="12088"/>
    <cellStyle name="Обычный 7 2 6 3 2" xfId="12089"/>
    <cellStyle name="Обычный 7 2 6 3 3" xfId="12090"/>
    <cellStyle name="Обычный 7 2 6 4" xfId="12091"/>
    <cellStyle name="Обычный 7 2 6 5" xfId="12092"/>
    <cellStyle name="Обычный 7 2 7" xfId="12093"/>
    <cellStyle name="Обычный 7 2 7 2" xfId="12094"/>
    <cellStyle name="Обычный 7 2 7 2 2" xfId="12095"/>
    <cellStyle name="Обычный 7 2 7 2 2 2" xfId="12096"/>
    <cellStyle name="Обычный 7 2 7 2 2 3" xfId="12097"/>
    <cellStyle name="Обычный 7 2 7 2 3" xfId="12098"/>
    <cellStyle name="Обычный 7 2 7 2 4" xfId="12099"/>
    <cellStyle name="Обычный 7 2 7 3" xfId="12100"/>
    <cellStyle name="Обычный 7 2 7 3 2" xfId="12101"/>
    <cellStyle name="Обычный 7 2 7 3 3" xfId="12102"/>
    <cellStyle name="Обычный 7 2 7 4" xfId="12103"/>
    <cellStyle name="Обычный 7 2 7 5" xfId="12104"/>
    <cellStyle name="Обычный 7 2 8" xfId="12105"/>
    <cellStyle name="Обычный 7 2 8 2" xfId="12106"/>
    <cellStyle name="Обычный 7 2 8 2 2" xfId="12107"/>
    <cellStyle name="Обычный 7 2 8 2 2 2" xfId="12108"/>
    <cellStyle name="Обычный 7 2 8 2 2 3" xfId="12109"/>
    <cellStyle name="Обычный 7 2 8 2 3" xfId="12110"/>
    <cellStyle name="Обычный 7 2 8 2 4" xfId="12111"/>
    <cellStyle name="Обычный 7 2 8 3" xfId="12112"/>
    <cellStyle name="Обычный 7 2 8 3 2" xfId="12113"/>
    <cellStyle name="Обычный 7 2 8 3 3" xfId="12114"/>
    <cellStyle name="Обычный 7 2 8 4" xfId="12115"/>
    <cellStyle name="Обычный 7 2 8 5" xfId="12116"/>
    <cellStyle name="Обычный 7 2 9" xfId="12117"/>
    <cellStyle name="Обычный 7 2 9 2" xfId="12118"/>
    <cellStyle name="Обычный 7 2 9 2 2" xfId="12119"/>
    <cellStyle name="Обычный 7 2 9 2 2 2" xfId="12120"/>
    <cellStyle name="Обычный 7 2 9 2 2 3" xfId="12121"/>
    <cellStyle name="Обычный 7 2 9 2 3" xfId="12122"/>
    <cellStyle name="Обычный 7 2 9 2 4" xfId="12123"/>
    <cellStyle name="Обычный 7 2 9 3" xfId="12124"/>
    <cellStyle name="Обычный 7 2 9 3 2" xfId="12125"/>
    <cellStyle name="Обычный 7 2 9 3 3" xfId="12126"/>
    <cellStyle name="Обычный 7 2 9 4" xfId="12127"/>
    <cellStyle name="Обычный 7 2 9 5" xfId="12128"/>
    <cellStyle name="Обычный 7 2_1 ВАР. КП 1 293  +8пропорцЛара" xfId="12129"/>
    <cellStyle name="Обычный 7 3" xfId="12130"/>
    <cellStyle name="Обычный 7 3 10" xfId="12131"/>
    <cellStyle name="Обычный 7 3 10 2" xfId="12132"/>
    <cellStyle name="Обычный 7 3 10 2 2" xfId="12133"/>
    <cellStyle name="Обычный 7 3 10 2 3" xfId="12134"/>
    <cellStyle name="Обычный 7 3 10 3" xfId="12135"/>
    <cellStyle name="Обычный 7 3 10 4" xfId="12136"/>
    <cellStyle name="Обычный 7 3 11" xfId="12137"/>
    <cellStyle name="Обычный 7 3 11 2" xfId="12138"/>
    <cellStyle name="Обычный 7 3 11 3" xfId="12139"/>
    <cellStyle name="Обычный 7 3 12" xfId="12140"/>
    <cellStyle name="Обычный 7 3 13" xfId="12141"/>
    <cellStyle name="Обычный 7 3 2" xfId="12142"/>
    <cellStyle name="Обычный 7 3 2 10" xfId="12143"/>
    <cellStyle name="Обычный 7 3 2 2" xfId="12144"/>
    <cellStyle name="Обычный 7 3 2 2 2" xfId="12145"/>
    <cellStyle name="Обычный 7 3 2 2 2 2" xfId="12146"/>
    <cellStyle name="Обычный 7 3 2 2 2 2 2" xfId="12147"/>
    <cellStyle name="Обычный 7 3 2 2 2 2 3" xfId="12148"/>
    <cellStyle name="Обычный 7 3 2 2 2 3" xfId="12149"/>
    <cellStyle name="Обычный 7 3 2 2 2 4" xfId="12150"/>
    <cellStyle name="Обычный 7 3 2 2 3" xfId="12151"/>
    <cellStyle name="Обычный 7 3 2 2 3 2" xfId="12152"/>
    <cellStyle name="Обычный 7 3 2 2 3 3" xfId="12153"/>
    <cellStyle name="Обычный 7 3 2 2 4" xfId="12154"/>
    <cellStyle name="Обычный 7 3 2 2 5" xfId="12155"/>
    <cellStyle name="Обычный 7 3 2 3" xfId="12156"/>
    <cellStyle name="Обычный 7 3 2 3 2" xfId="12157"/>
    <cellStyle name="Обычный 7 3 2 3 2 2" xfId="12158"/>
    <cellStyle name="Обычный 7 3 2 3 2 2 2" xfId="12159"/>
    <cellStyle name="Обычный 7 3 2 3 2 2 3" xfId="12160"/>
    <cellStyle name="Обычный 7 3 2 3 2 3" xfId="12161"/>
    <cellStyle name="Обычный 7 3 2 3 2 4" xfId="12162"/>
    <cellStyle name="Обычный 7 3 2 3 3" xfId="12163"/>
    <cellStyle name="Обычный 7 3 2 3 3 2" xfId="12164"/>
    <cellStyle name="Обычный 7 3 2 3 3 3" xfId="12165"/>
    <cellStyle name="Обычный 7 3 2 3 4" xfId="12166"/>
    <cellStyle name="Обычный 7 3 2 3 5" xfId="12167"/>
    <cellStyle name="Обычный 7 3 2 4" xfId="12168"/>
    <cellStyle name="Обычный 7 3 2 4 2" xfId="12169"/>
    <cellStyle name="Обычный 7 3 2 4 2 2" xfId="12170"/>
    <cellStyle name="Обычный 7 3 2 4 2 2 2" xfId="12171"/>
    <cellStyle name="Обычный 7 3 2 4 2 2 3" xfId="12172"/>
    <cellStyle name="Обычный 7 3 2 4 2 3" xfId="12173"/>
    <cellStyle name="Обычный 7 3 2 4 2 4" xfId="12174"/>
    <cellStyle name="Обычный 7 3 2 4 3" xfId="12175"/>
    <cellStyle name="Обычный 7 3 2 4 3 2" xfId="12176"/>
    <cellStyle name="Обычный 7 3 2 4 3 3" xfId="12177"/>
    <cellStyle name="Обычный 7 3 2 4 4" xfId="12178"/>
    <cellStyle name="Обычный 7 3 2 4 5" xfId="12179"/>
    <cellStyle name="Обычный 7 3 2 5" xfId="12180"/>
    <cellStyle name="Обычный 7 3 2 5 2" xfId="12181"/>
    <cellStyle name="Обычный 7 3 2 5 2 2" xfId="12182"/>
    <cellStyle name="Обычный 7 3 2 5 2 2 2" xfId="12183"/>
    <cellStyle name="Обычный 7 3 2 5 2 2 3" xfId="12184"/>
    <cellStyle name="Обычный 7 3 2 5 2 3" xfId="12185"/>
    <cellStyle name="Обычный 7 3 2 5 2 4" xfId="12186"/>
    <cellStyle name="Обычный 7 3 2 5 3" xfId="12187"/>
    <cellStyle name="Обычный 7 3 2 5 3 2" xfId="12188"/>
    <cellStyle name="Обычный 7 3 2 5 3 3" xfId="12189"/>
    <cellStyle name="Обычный 7 3 2 5 4" xfId="12190"/>
    <cellStyle name="Обычный 7 3 2 5 5" xfId="12191"/>
    <cellStyle name="Обычный 7 3 2 6" xfId="12192"/>
    <cellStyle name="Обычный 7 3 2 6 2" xfId="12193"/>
    <cellStyle name="Обычный 7 3 2 6 2 2" xfId="12194"/>
    <cellStyle name="Обычный 7 3 2 6 2 2 2" xfId="12195"/>
    <cellStyle name="Обычный 7 3 2 6 2 2 3" xfId="12196"/>
    <cellStyle name="Обычный 7 3 2 6 2 3" xfId="12197"/>
    <cellStyle name="Обычный 7 3 2 6 2 4" xfId="12198"/>
    <cellStyle name="Обычный 7 3 2 6 3" xfId="12199"/>
    <cellStyle name="Обычный 7 3 2 6 3 2" xfId="12200"/>
    <cellStyle name="Обычный 7 3 2 6 3 3" xfId="12201"/>
    <cellStyle name="Обычный 7 3 2 6 4" xfId="12202"/>
    <cellStyle name="Обычный 7 3 2 6 5" xfId="12203"/>
    <cellStyle name="Обычный 7 3 2 7" xfId="12204"/>
    <cellStyle name="Обычный 7 3 2 7 2" xfId="12205"/>
    <cellStyle name="Обычный 7 3 2 7 2 2" xfId="12206"/>
    <cellStyle name="Обычный 7 3 2 7 2 3" xfId="12207"/>
    <cellStyle name="Обычный 7 3 2 7 3" xfId="12208"/>
    <cellStyle name="Обычный 7 3 2 7 4" xfId="12209"/>
    <cellStyle name="Обычный 7 3 2 8" xfId="12210"/>
    <cellStyle name="Обычный 7 3 2 8 2" xfId="12211"/>
    <cellStyle name="Обычный 7 3 2 8 3" xfId="12212"/>
    <cellStyle name="Обычный 7 3 2 9" xfId="12213"/>
    <cellStyle name="Обычный 7 3 2_Расчет  30 млн_Технополис  Коренькова" xfId="12214"/>
    <cellStyle name="Обычный 7 3 3" xfId="12215"/>
    <cellStyle name="Обычный 7 3 3 10" xfId="12216"/>
    <cellStyle name="Обычный 7 3 3 2" xfId="12217"/>
    <cellStyle name="Обычный 7 3 3 2 2" xfId="12218"/>
    <cellStyle name="Обычный 7 3 3 2 2 2" xfId="12219"/>
    <cellStyle name="Обычный 7 3 3 2 2 2 2" xfId="12220"/>
    <cellStyle name="Обычный 7 3 3 2 2 2 3" xfId="12221"/>
    <cellStyle name="Обычный 7 3 3 2 2 3" xfId="12222"/>
    <cellStyle name="Обычный 7 3 3 2 2 4" xfId="12223"/>
    <cellStyle name="Обычный 7 3 3 2 3" xfId="12224"/>
    <cellStyle name="Обычный 7 3 3 2 3 2" xfId="12225"/>
    <cellStyle name="Обычный 7 3 3 2 3 3" xfId="12226"/>
    <cellStyle name="Обычный 7 3 3 2 4" xfId="12227"/>
    <cellStyle name="Обычный 7 3 3 2 5" xfId="12228"/>
    <cellStyle name="Обычный 7 3 3 3" xfId="12229"/>
    <cellStyle name="Обычный 7 3 3 3 2" xfId="12230"/>
    <cellStyle name="Обычный 7 3 3 3 2 2" xfId="12231"/>
    <cellStyle name="Обычный 7 3 3 3 2 2 2" xfId="12232"/>
    <cellStyle name="Обычный 7 3 3 3 2 2 3" xfId="12233"/>
    <cellStyle name="Обычный 7 3 3 3 2 3" xfId="12234"/>
    <cellStyle name="Обычный 7 3 3 3 2 4" xfId="12235"/>
    <cellStyle name="Обычный 7 3 3 3 3" xfId="12236"/>
    <cellStyle name="Обычный 7 3 3 3 3 2" xfId="12237"/>
    <cellStyle name="Обычный 7 3 3 3 3 3" xfId="12238"/>
    <cellStyle name="Обычный 7 3 3 3 4" xfId="12239"/>
    <cellStyle name="Обычный 7 3 3 3 5" xfId="12240"/>
    <cellStyle name="Обычный 7 3 3 4" xfId="12241"/>
    <cellStyle name="Обычный 7 3 3 4 2" xfId="12242"/>
    <cellStyle name="Обычный 7 3 3 4 2 2" xfId="12243"/>
    <cellStyle name="Обычный 7 3 3 4 2 2 2" xfId="12244"/>
    <cellStyle name="Обычный 7 3 3 4 2 2 3" xfId="12245"/>
    <cellStyle name="Обычный 7 3 3 4 2 3" xfId="12246"/>
    <cellStyle name="Обычный 7 3 3 4 2 4" xfId="12247"/>
    <cellStyle name="Обычный 7 3 3 4 3" xfId="12248"/>
    <cellStyle name="Обычный 7 3 3 4 3 2" xfId="12249"/>
    <cellStyle name="Обычный 7 3 3 4 3 3" xfId="12250"/>
    <cellStyle name="Обычный 7 3 3 4 4" xfId="12251"/>
    <cellStyle name="Обычный 7 3 3 4 5" xfId="12252"/>
    <cellStyle name="Обычный 7 3 3 5" xfId="12253"/>
    <cellStyle name="Обычный 7 3 3 5 2" xfId="12254"/>
    <cellStyle name="Обычный 7 3 3 5 2 2" xfId="12255"/>
    <cellStyle name="Обычный 7 3 3 5 2 2 2" xfId="12256"/>
    <cellStyle name="Обычный 7 3 3 5 2 2 3" xfId="12257"/>
    <cellStyle name="Обычный 7 3 3 5 2 3" xfId="12258"/>
    <cellStyle name="Обычный 7 3 3 5 2 4" xfId="12259"/>
    <cellStyle name="Обычный 7 3 3 5 3" xfId="12260"/>
    <cellStyle name="Обычный 7 3 3 5 3 2" xfId="12261"/>
    <cellStyle name="Обычный 7 3 3 5 3 3" xfId="12262"/>
    <cellStyle name="Обычный 7 3 3 5 4" xfId="12263"/>
    <cellStyle name="Обычный 7 3 3 5 5" xfId="12264"/>
    <cellStyle name="Обычный 7 3 3 6" xfId="12265"/>
    <cellStyle name="Обычный 7 3 3 6 2" xfId="12266"/>
    <cellStyle name="Обычный 7 3 3 6 2 2" xfId="12267"/>
    <cellStyle name="Обычный 7 3 3 6 2 2 2" xfId="12268"/>
    <cellStyle name="Обычный 7 3 3 6 2 2 3" xfId="12269"/>
    <cellStyle name="Обычный 7 3 3 6 2 3" xfId="12270"/>
    <cellStyle name="Обычный 7 3 3 6 2 4" xfId="12271"/>
    <cellStyle name="Обычный 7 3 3 6 3" xfId="12272"/>
    <cellStyle name="Обычный 7 3 3 6 3 2" xfId="12273"/>
    <cellStyle name="Обычный 7 3 3 6 3 3" xfId="12274"/>
    <cellStyle name="Обычный 7 3 3 6 4" xfId="12275"/>
    <cellStyle name="Обычный 7 3 3 6 5" xfId="12276"/>
    <cellStyle name="Обычный 7 3 3 7" xfId="12277"/>
    <cellStyle name="Обычный 7 3 3 7 2" xfId="12278"/>
    <cellStyle name="Обычный 7 3 3 7 2 2" xfId="12279"/>
    <cellStyle name="Обычный 7 3 3 7 2 3" xfId="12280"/>
    <cellStyle name="Обычный 7 3 3 7 3" xfId="12281"/>
    <cellStyle name="Обычный 7 3 3 7 4" xfId="12282"/>
    <cellStyle name="Обычный 7 3 3 8" xfId="12283"/>
    <cellStyle name="Обычный 7 3 3 8 2" xfId="12284"/>
    <cellStyle name="Обычный 7 3 3 8 3" xfId="12285"/>
    <cellStyle name="Обычный 7 3 3 9" xfId="12286"/>
    <cellStyle name="Обычный 7 3 3_Расчет  30 млн_Технополис  Коренькова" xfId="12287"/>
    <cellStyle name="Обычный 7 3 4" xfId="12288"/>
    <cellStyle name="Обычный 7 3 4 10" xfId="12289"/>
    <cellStyle name="Обычный 7 3 4 2" xfId="12290"/>
    <cellStyle name="Обычный 7 3 4 2 2" xfId="12291"/>
    <cellStyle name="Обычный 7 3 4 2 2 2" xfId="12292"/>
    <cellStyle name="Обычный 7 3 4 2 2 2 2" xfId="12293"/>
    <cellStyle name="Обычный 7 3 4 2 2 2 3" xfId="12294"/>
    <cellStyle name="Обычный 7 3 4 2 2 3" xfId="12295"/>
    <cellStyle name="Обычный 7 3 4 2 2 4" xfId="12296"/>
    <cellStyle name="Обычный 7 3 4 2 3" xfId="12297"/>
    <cellStyle name="Обычный 7 3 4 2 3 2" xfId="12298"/>
    <cellStyle name="Обычный 7 3 4 2 3 3" xfId="12299"/>
    <cellStyle name="Обычный 7 3 4 2 4" xfId="12300"/>
    <cellStyle name="Обычный 7 3 4 2 5" xfId="12301"/>
    <cellStyle name="Обычный 7 3 4 3" xfId="12302"/>
    <cellStyle name="Обычный 7 3 4 3 2" xfId="12303"/>
    <cellStyle name="Обычный 7 3 4 3 2 2" xfId="12304"/>
    <cellStyle name="Обычный 7 3 4 3 2 2 2" xfId="12305"/>
    <cellStyle name="Обычный 7 3 4 3 2 2 3" xfId="12306"/>
    <cellStyle name="Обычный 7 3 4 3 2 3" xfId="12307"/>
    <cellStyle name="Обычный 7 3 4 3 2 4" xfId="12308"/>
    <cellStyle name="Обычный 7 3 4 3 3" xfId="12309"/>
    <cellStyle name="Обычный 7 3 4 3 3 2" xfId="12310"/>
    <cellStyle name="Обычный 7 3 4 3 3 3" xfId="12311"/>
    <cellStyle name="Обычный 7 3 4 3 4" xfId="12312"/>
    <cellStyle name="Обычный 7 3 4 3 5" xfId="12313"/>
    <cellStyle name="Обычный 7 3 4 4" xfId="12314"/>
    <cellStyle name="Обычный 7 3 4 4 2" xfId="12315"/>
    <cellStyle name="Обычный 7 3 4 4 2 2" xfId="12316"/>
    <cellStyle name="Обычный 7 3 4 4 2 2 2" xfId="12317"/>
    <cellStyle name="Обычный 7 3 4 4 2 2 3" xfId="12318"/>
    <cellStyle name="Обычный 7 3 4 4 2 3" xfId="12319"/>
    <cellStyle name="Обычный 7 3 4 4 2 4" xfId="12320"/>
    <cellStyle name="Обычный 7 3 4 4 3" xfId="12321"/>
    <cellStyle name="Обычный 7 3 4 4 3 2" xfId="12322"/>
    <cellStyle name="Обычный 7 3 4 4 3 3" xfId="12323"/>
    <cellStyle name="Обычный 7 3 4 4 4" xfId="12324"/>
    <cellStyle name="Обычный 7 3 4 4 5" xfId="12325"/>
    <cellStyle name="Обычный 7 3 4 5" xfId="12326"/>
    <cellStyle name="Обычный 7 3 4 5 2" xfId="12327"/>
    <cellStyle name="Обычный 7 3 4 5 2 2" xfId="12328"/>
    <cellStyle name="Обычный 7 3 4 5 2 2 2" xfId="12329"/>
    <cellStyle name="Обычный 7 3 4 5 2 2 3" xfId="12330"/>
    <cellStyle name="Обычный 7 3 4 5 2 3" xfId="12331"/>
    <cellStyle name="Обычный 7 3 4 5 2 4" xfId="12332"/>
    <cellStyle name="Обычный 7 3 4 5 3" xfId="12333"/>
    <cellStyle name="Обычный 7 3 4 5 3 2" xfId="12334"/>
    <cellStyle name="Обычный 7 3 4 5 3 3" xfId="12335"/>
    <cellStyle name="Обычный 7 3 4 5 4" xfId="12336"/>
    <cellStyle name="Обычный 7 3 4 5 5" xfId="12337"/>
    <cellStyle name="Обычный 7 3 4 6" xfId="12338"/>
    <cellStyle name="Обычный 7 3 4 6 2" xfId="12339"/>
    <cellStyle name="Обычный 7 3 4 6 2 2" xfId="12340"/>
    <cellStyle name="Обычный 7 3 4 6 2 2 2" xfId="12341"/>
    <cellStyle name="Обычный 7 3 4 6 2 2 3" xfId="12342"/>
    <cellStyle name="Обычный 7 3 4 6 2 3" xfId="12343"/>
    <cellStyle name="Обычный 7 3 4 6 2 4" xfId="12344"/>
    <cellStyle name="Обычный 7 3 4 6 3" xfId="12345"/>
    <cellStyle name="Обычный 7 3 4 6 3 2" xfId="12346"/>
    <cellStyle name="Обычный 7 3 4 6 3 3" xfId="12347"/>
    <cellStyle name="Обычный 7 3 4 6 4" xfId="12348"/>
    <cellStyle name="Обычный 7 3 4 6 5" xfId="12349"/>
    <cellStyle name="Обычный 7 3 4 7" xfId="12350"/>
    <cellStyle name="Обычный 7 3 4 7 2" xfId="12351"/>
    <cellStyle name="Обычный 7 3 4 7 2 2" xfId="12352"/>
    <cellStyle name="Обычный 7 3 4 7 2 3" xfId="12353"/>
    <cellStyle name="Обычный 7 3 4 7 3" xfId="12354"/>
    <cellStyle name="Обычный 7 3 4 7 4" xfId="12355"/>
    <cellStyle name="Обычный 7 3 4 8" xfId="12356"/>
    <cellStyle name="Обычный 7 3 4 8 2" xfId="12357"/>
    <cellStyle name="Обычный 7 3 4 8 3" xfId="12358"/>
    <cellStyle name="Обычный 7 3 4 9" xfId="12359"/>
    <cellStyle name="Обычный 7 3 4_Расчет  30 млн_Технополис  Коренькова" xfId="12360"/>
    <cellStyle name="Обычный 7 3 5" xfId="12361"/>
    <cellStyle name="Обычный 7 3 5 2" xfId="12362"/>
    <cellStyle name="Обычный 7 3 5 2 2" xfId="12363"/>
    <cellStyle name="Обычный 7 3 5 2 2 2" xfId="12364"/>
    <cellStyle name="Обычный 7 3 5 2 2 3" xfId="12365"/>
    <cellStyle name="Обычный 7 3 5 2 3" xfId="12366"/>
    <cellStyle name="Обычный 7 3 5 2 4" xfId="12367"/>
    <cellStyle name="Обычный 7 3 5 3" xfId="12368"/>
    <cellStyle name="Обычный 7 3 5 3 2" xfId="12369"/>
    <cellStyle name="Обычный 7 3 5 3 3" xfId="12370"/>
    <cellStyle name="Обычный 7 3 5 4" xfId="12371"/>
    <cellStyle name="Обычный 7 3 5 5" xfId="12372"/>
    <cellStyle name="Обычный 7 3 6" xfId="12373"/>
    <cellStyle name="Обычный 7 3 6 2" xfId="12374"/>
    <cellStyle name="Обычный 7 3 6 2 2" xfId="12375"/>
    <cellStyle name="Обычный 7 3 6 2 2 2" xfId="12376"/>
    <cellStyle name="Обычный 7 3 6 2 2 3" xfId="12377"/>
    <cellStyle name="Обычный 7 3 6 2 3" xfId="12378"/>
    <cellStyle name="Обычный 7 3 6 2 4" xfId="12379"/>
    <cellStyle name="Обычный 7 3 6 3" xfId="12380"/>
    <cellStyle name="Обычный 7 3 6 3 2" xfId="12381"/>
    <cellStyle name="Обычный 7 3 6 3 3" xfId="12382"/>
    <cellStyle name="Обычный 7 3 6 4" xfId="12383"/>
    <cellStyle name="Обычный 7 3 6 5" xfId="12384"/>
    <cellStyle name="Обычный 7 3 7" xfId="12385"/>
    <cellStyle name="Обычный 7 3 7 2" xfId="12386"/>
    <cellStyle name="Обычный 7 3 7 2 2" xfId="12387"/>
    <cellStyle name="Обычный 7 3 7 2 2 2" xfId="12388"/>
    <cellStyle name="Обычный 7 3 7 2 2 3" xfId="12389"/>
    <cellStyle name="Обычный 7 3 7 2 3" xfId="12390"/>
    <cellStyle name="Обычный 7 3 7 2 4" xfId="12391"/>
    <cellStyle name="Обычный 7 3 7 3" xfId="12392"/>
    <cellStyle name="Обычный 7 3 7 3 2" xfId="12393"/>
    <cellStyle name="Обычный 7 3 7 3 3" xfId="12394"/>
    <cellStyle name="Обычный 7 3 7 4" xfId="12395"/>
    <cellStyle name="Обычный 7 3 7 5" xfId="12396"/>
    <cellStyle name="Обычный 7 3 8" xfId="12397"/>
    <cellStyle name="Обычный 7 3 8 2" xfId="12398"/>
    <cellStyle name="Обычный 7 3 8 2 2" xfId="12399"/>
    <cellStyle name="Обычный 7 3 8 2 2 2" xfId="12400"/>
    <cellStyle name="Обычный 7 3 8 2 2 3" xfId="12401"/>
    <cellStyle name="Обычный 7 3 8 2 3" xfId="12402"/>
    <cellStyle name="Обычный 7 3 8 2 4" xfId="12403"/>
    <cellStyle name="Обычный 7 3 8 3" xfId="12404"/>
    <cellStyle name="Обычный 7 3 8 3 2" xfId="12405"/>
    <cellStyle name="Обычный 7 3 8 3 3" xfId="12406"/>
    <cellStyle name="Обычный 7 3 8 4" xfId="12407"/>
    <cellStyle name="Обычный 7 3 8 5" xfId="12408"/>
    <cellStyle name="Обычный 7 3 9" xfId="12409"/>
    <cellStyle name="Обычный 7 3 9 2" xfId="12410"/>
    <cellStyle name="Обычный 7 3 9 2 2" xfId="12411"/>
    <cellStyle name="Обычный 7 3 9 2 2 2" xfId="12412"/>
    <cellStyle name="Обычный 7 3 9 2 2 3" xfId="12413"/>
    <cellStyle name="Обычный 7 3 9 2 3" xfId="12414"/>
    <cellStyle name="Обычный 7 3 9 2 4" xfId="12415"/>
    <cellStyle name="Обычный 7 3 9 3" xfId="12416"/>
    <cellStyle name="Обычный 7 3 9 3 2" xfId="12417"/>
    <cellStyle name="Обычный 7 3 9 3 3" xfId="12418"/>
    <cellStyle name="Обычный 7 3 9 4" xfId="12419"/>
    <cellStyle name="Обычный 7 3 9 5" xfId="12420"/>
    <cellStyle name="Обычный 7 3_1 ВАР. КП 1 293  +8пропорцЛара" xfId="12421"/>
    <cellStyle name="Обычный 7 4" xfId="12422"/>
    <cellStyle name="Обычный 7 4 10" xfId="12423"/>
    <cellStyle name="Обычный 7 4 2" xfId="12424"/>
    <cellStyle name="Обычный 7 4 2 2" xfId="12425"/>
    <cellStyle name="Обычный 7 4 2 2 2" xfId="12426"/>
    <cellStyle name="Обычный 7 4 2 2 2 2" xfId="12427"/>
    <cellStyle name="Обычный 7 4 2 2 2 3" xfId="12428"/>
    <cellStyle name="Обычный 7 4 2 2 3" xfId="12429"/>
    <cellStyle name="Обычный 7 4 2 2 4" xfId="12430"/>
    <cellStyle name="Обычный 7 4 2 3" xfId="12431"/>
    <cellStyle name="Обычный 7 4 2 3 2" xfId="12432"/>
    <cellStyle name="Обычный 7 4 2 3 3" xfId="12433"/>
    <cellStyle name="Обычный 7 4 2 4" xfId="12434"/>
    <cellStyle name="Обычный 7 4 2 5" xfId="12435"/>
    <cellStyle name="Обычный 7 4 3" xfId="12436"/>
    <cellStyle name="Обычный 7 4 3 2" xfId="12437"/>
    <cellStyle name="Обычный 7 4 3 2 2" xfId="12438"/>
    <cellStyle name="Обычный 7 4 3 2 2 2" xfId="12439"/>
    <cellStyle name="Обычный 7 4 3 2 2 3" xfId="12440"/>
    <cellStyle name="Обычный 7 4 3 2 3" xfId="12441"/>
    <cellStyle name="Обычный 7 4 3 2 4" xfId="12442"/>
    <cellStyle name="Обычный 7 4 3 3" xfId="12443"/>
    <cellStyle name="Обычный 7 4 3 3 2" xfId="12444"/>
    <cellStyle name="Обычный 7 4 3 3 3" xfId="12445"/>
    <cellStyle name="Обычный 7 4 3 4" xfId="12446"/>
    <cellStyle name="Обычный 7 4 3 5" xfId="12447"/>
    <cellStyle name="Обычный 7 4 4" xfId="12448"/>
    <cellStyle name="Обычный 7 4 4 2" xfId="12449"/>
    <cellStyle name="Обычный 7 4 4 2 2" xfId="12450"/>
    <cellStyle name="Обычный 7 4 4 2 2 2" xfId="12451"/>
    <cellStyle name="Обычный 7 4 4 2 2 3" xfId="12452"/>
    <cellStyle name="Обычный 7 4 4 2 3" xfId="12453"/>
    <cellStyle name="Обычный 7 4 4 2 4" xfId="12454"/>
    <cellStyle name="Обычный 7 4 4 3" xfId="12455"/>
    <cellStyle name="Обычный 7 4 4 3 2" xfId="12456"/>
    <cellStyle name="Обычный 7 4 4 3 3" xfId="12457"/>
    <cellStyle name="Обычный 7 4 4 4" xfId="12458"/>
    <cellStyle name="Обычный 7 4 4 5" xfId="12459"/>
    <cellStyle name="Обычный 7 4 5" xfId="12460"/>
    <cellStyle name="Обычный 7 4 5 2" xfId="12461"/>
    <cellStyle name="Обычный 7 4 5 2 2" xfId="12462"/>
    <cellStyle name="Обычный 7 4 5 2 2 2" xfId="12463"/>
    <cellStyle name="Обычный 7 4 5 2 2 3" xfId="12464"/>
    <cellStyle name="Обычный 7 4 5 2 3" xfId="12465"/>
    <cellStyle name="Обычный 7 4 5 2 4" xfId="12466"/>
    <cellStyle name="Обычный 7 4 5 3" xfId="12467"/>
    <cellStyle name="Обычный 7 4 5 3 2" xfId="12468"/>
    <cellStyle name="Обычный 7 4 5 3 3" xfId="12469"/>
    <cellStyle name="Обычный 7 4 5 4" xfId="12470"/>
    <cellStyle name="Обычный 7 4 5 5" xfId="12471"/>
    <cellStyle name="Обычный 7 4 6" xfId="12472"/>
    <cellStyle name="Обычный 7 4 6 2" xfId="12473"/>
    <cellStyle name="Обычный 7 4 6 2 2" xfId="12474"/>
    <cellStyle name="Обычный 7 4 6 2 2 2" xfId="12475"/>
    <cellStyle name="Обычный 7 4 6 2 2 3" xfId="12476"/>
    <cellStyle name="Обычный 7 4 6 2 3" xfId="12477"/>
    <cellStyle name="Обычный 7 4 6 2 4" xfId="12478"/>
    <cellStyle name="Обычный 7 4 6 3" xfId="12479"/>
    <cellStyle name="Обычный 7 4 6 3 2" xfId="12480"/>
    <cellStyle name="Обычный 7 4 6 3 3" xfId="12481"/>
    <cellStyle name="Обычный 7 4 6 4" xfId="12482"/>
    <cellStyle name="Обычный 7 4 6 5" xfId="12483"/>
    <cellStyle name="Обычный 7 4 7" xfId="12484"/>
    <cellStyle name="Обычный 7 4 7 2" xfId="12485"/>
    <cellStyle name="Обычный 7 4 7 2 2" xfId="12486"/>
    <cellStyle name="Обычный 7 4 7 2 3" xfId="12487"/>
    <cellStyle name="Обычный 7 4 7 3" xfId="12488"/>
    <cellStyle name="Обычный 7 4 7 4" xfId="12489"/>
    <cellStyle name="Обычный 7 4 8" xfId="12490"/>
    <cellStyle name="Обычный 7 4 8 2" xfId="12491"/>
    <cellStyle name="Обычный 7 4 8 3" xfId="12492"/>
    <cellStyle name="Обычный 7 4 9" xfId="12493"/>
    <cellStyle name="Обычный 7 4_Расчет  30 млн_Технополис  Коренькова" xfId="12494"/>
    <cellStyle name="Обычный 7 5" xfId="12495"/>
    <cellStyle name="Обычный 7 5 10" xfId="12496"/>
    <cellStyle name="Обычный 7 5 2" xfId="12497"/>
    <cellStyle name="Обычный 7 5 2 2" xfId="12498"/>
    <cellStyle name="Обычный 7 5 2 2 2" xfId="12499"/>
    <cellStyle name="Обычный 7 5 2 2 2 2" xfId="12500"/>
    <cellStyle name="Обычный 7 5 2 2 2 3" xfId="12501"/>
    <cellStyle name="Обычный 7 5 2 2 3" xfId="12502"/>
    <cellStyle name="Обычный 7 5 2 2 4" xfId="12503"/>
    <cellStyle name="Обычный 7 5 2 3" xfId="12504"/>
    <cellStyle name="Обычный 7 5 2 3 2" xfId="12505"/>
    <cellStyle name="Обычный 7 5 2 3 3" xfId="12506"/>
    <cellStyle name="Обычный 7 5 2 4" xfId="12507"/>
    <cellStyle name="Обычный 7 5 2 5" xfId="12508"/>
    <cellStyle name="Обычный 7 5 3" xfId="12509"/>
    <cellStyle name="Обычный 7 5 3 2" xfId="12510"/>
    <cellStyle name="Обычный 7 5 3 2 2" xfId="12511"/>
    <cellStyle name="Обычный 7 5 3 2 2 2" xfId="12512"/>
    <cellStyle name="Обычный 7 5 3 2 2 3" xfId="12513"/>
    <cellStyle name="Обычный 7 5 3 2 3" xfId="12514"/>
    <cellStyle name="Обычный 7 5 3 2 4" xfId="12515"/>
    <cellStyle name="Обычный 7 5 3 3" xfId="12516"/>
    <cellStyle name="Обычный 7 5 3 3 2" xfId="12517"/>
    <cellStyle name="Обычный 7 5 3 3 3" xfId="12518"/>
    <cellStyle name="Обычный 7 5 3 4" xfId="12519"/>
    <cellStyle name="Обычный 7 5 3 5" xfId="12520"/>
    <cellStyle name="Обычный 7 5 4" xfId="12521"/>
    <cellStyle name="Обычный 7 5 4 2" xfId="12522"/>
    <cellStyle name="Обычный 7 5 4 2 2" xfId="12523"/>
    <cellStyle name="Обычный 7 5 4 2 2 2" xfId="12524"/>
    <cellStyle name="Обычный 7 5 4 2 2 3" xfId="12525"/>
    <cellStyle name="Обычный 7 5 4 2 3" xfId="12526"/>
    <cellStyle name="Обычный 7 5 4 2 4" xfId="12527"/>
    <cellStyle name="Обычный 7 5 4 3" xfId="12528"/>
    <cellStyle name="Обычный 7 5 4 3 2" xfId="12529"/>
    <cellStyle name="Обычный 7 5 4 3 3" xfId="12530"/>
    <cellStyle name="Обычный 7 5 4 4" xfId="12531"/>
    <cellStyle name="Обычный 7 5 4 5" xfId="12532"/>
    <cellStyle name="Обычный 7 5 5" xfId="12533"/>
    <cellStyle name="Обычный 7 5 5 2" xfId="12534"/>
    <cellStyle name="Обычный 7 5 5 2 2" xfId="12535"/>
    <cellStyle name="Обычный 7 5 5 2 2 2" xfId="12536"/>
    <cellStyle name="Обычный 7 5 5 2 2 3" xfId="12537"/>
    <cellStyle name="Обычный 7 5 5 2 3" xfId="12538"/>
    <cellStyle name="Обычный 7 5 5 2 4" xfId="12539"/>
    <cellStyle name="Обычный 7 5 5 3" xfId="12540"/>
    <cellStyle name="Обычный 7 5 5 3 2" xfId="12541"/>
    <cellStyle name="Обычный 7 5 5 3 3" xfId="12542"/>
    <cellStyle name="Обычный 7 5 5 4" xfId="12543"/>
    <cellStyle name="Обычный 7 5 5 5" xfId="12544"/>
    <cellStyle name="Обычный 7 5 6" xfId="12545"/>
    <cellStyle name="Обычный 7 5 6 2" xfId="12546"/>
    <cellStyle name="Обычный 7 5 6 2 2" xfId="12547"/>
    <cellStyle name="Обычный 7 5 6 2 2 2" xfId="12548"/>
    <cellStyle name="Обычный 7 5 6 2 2 3" xfId="12549"/>
    <cellStyle name="Обычный 7 5 6 2 3" xfId="12550"/>
    <cellStyle name="Обычный 7 5 6 2 4" xfId="12551"/>
    <cellStyle name="Обычный 7 5 6 3" xfId="12552"/>
    <cellStyle name="Обычный 7 5 6 3 2" xfId="12553"/>
    <cellStyle name="Обычный 7 5 6 3 3" xfId="12554"/>
    <cellStyle name="Обычный 7 5 6 4" xfId="12555"/>
    <cellStyle name="Обычный 7 5 6 5" xfId="12556"/>
    <cellStyle name="Обычный 7 5 7" xfId="12557"/>
    <cellStyle name="Обычный 7 5 7 2" xfId="12558"/>
    <cellStyle name="Обычный 7 5 7 2 2" xfId="12559"/>
    <cellStyle name="Обычный 7 5 7 2 3" xfId="12560"/>
    <cellStyle name="Обычный 7 5 7 3" xfId="12561"/>
    <cellStyle name="Обычный 7 5 7 4" xfId="12562"/>
    <cellStyle name="Обычный 7 5 8" xfId="12563"/>
    <cellStyle name="Обычный 7 5 8 2" xfId="12564"/>
    <cellStyle name="Обычный 7 5 8 3" xfId="12565"/>
    <cellStyle name="Обычный 7 5 9" xfId="12566"/>
    <cellStyle name="Обычный 7 5_Расчет  30 млн_Технополис  Коренькова" xfId="12567"/>
    <cellStyle name="Обычный 7 6" xfId="12568"/>
    <cellStyle name="Обычный 7 6 10" xfId="12569"/>
    <cellStyle name="Обычный 7 6 2" xfId="12570"/>
    <cellStyle name="Обычный 7 6 2 2" xfId="12571"/>
    <cellStyle name="Обычный 7 6 2 2 2" xfId="12572"/>
    <cellStyle name="Обычный 7 6 2 2 2 2" xfId="12573"/>
    <cellStyle name="Обычный 7 6 2 2 2 3" xfId="12574"/>
    <cellStyle name="Обычный 7 6 2 2 3" xfId="12575"/>
    <cellStyle name="Обычный 7 6 2 2 4" xfId="12576"/>
    <cellStyle name="Обычный 7 6 2 3" xfId="12577"/>
    <cellStyle name="Обычный 7 6 2 3 2" xfId="12578"/>
    <cellStyle name="Обычный 7 6 2 3 3" xfId="12579"/>
    <cellStyle name="Обычный 7 6 2 4" xfId="12580"/>
    <cellStyle name="Обычный 7 6 2 5" xfId="12581"/>
    <cellStyle name="Обычный 7 6 3" xfId="12582"/>
    <cellStyle name="Обычный 7 6 3 2" xfId="12583"/>
    <cellStyle name="Обычный 7 6 3 2 2" xfId="12584"/>
    <cellStyle name="Обычный 7 6 3 2 2 2" xfId="12585"/>
    <cellStyle name="Обычный 7 6 3 2 2 3" xfId="12586"/>
    <cellStyle name="Обычный 7 6 3 2 3" xfId="12587"/>
    <cellStyle name="Обычный 7 6 3 2 4" xfId="12588"/>
    <cellStyle name="Обычный 7 6 3 3" xfId="12589"/>
    <cellStyle name="Обычный 7 6 3 3 2" xfId="12590"/>
    <cellStyle name="Обычный 7 6 3 3 3" xfId="12591"/>
    <cellStyle name="Обычный 7 6 3 4" xfId="12592"/>
    <cellStyle name="Обычный 7 6 3 5" xfId="12593"/>
    <cellStyle name="Обычный 7 6 4" xfId="12594"/>
    <cellStyle name="Обычный 7 6 4 2" xfId="12595"/>
    <cellStyle name="Обычный 7 6 4 2 2" xfId="12596"/>
    <cellStyle name="Обычный 7 6 4 2 2 2" xfId="12597"/>
    <cellStyle name="Обычный 7 6 4 2 2 3" xfId="12598"/>
    <cellStyle name="Обычный 7 6 4 2 3" xfId="12599"/>
    <cellStyle name="Обычный 7 6 4 2 4" xfId="12600"/>
    <cellStyle name="Обычный 7 6 4 3" xfId="12601"/>
    <cellStyle name="Обычный 7 6 4 3 2" xfId="12602"/>
    <cellStyle name="Обычный 7 6 4 3 3" xfId="12603"/>
    <cellStyle name="Обычный 7 6 4 4" xfId="12604"/>
    <cellStyle name="Обычный 7 6 4 5" xfId="12605"/>
    <cellStyle name="Обычный 7 6 5" xfId="12606"/>
    <cellStyle name="Обычный 7 6 5 2" xfId="12607"/>
    <cellStyle name="Обычный 7 6 5 2 2" xfId="12608"/>
    <cellStyle name="Обычный 7 6 5 2 2 2" xfId="12609"/>
    <cellStyle name="Обычный 7 6 5 2 2 3" xfId="12610"/>
    <cellStyle name="Обычный 7 6 5 2 3" xfId="12611"/>
    <cellStyle name="Обычный 7 6 5 2 4" xfId="12612"/>
    <cellStyle name="Обычный 7 6 5 3" xfId="12613"/>
    <cellStyle name="Обычный 7 6 5 3 2" xfId="12614"/>
    <cellStyle name="Обычный 7 6 5 3 3" xfId="12615"/>
    <cellStyle name="Обычный 7 6 5 4" xfId="12616"/>
    <cellStyle name="Обычный 7 6 5 5" xfId="12617"/>
    <cellStyle name="Обычный 7 6 6" xfId="12618"/>
    <cellStyle name="Обычный 7 6 6 2" xfId="12619"/>
    <cellStyle name="Обычный 7 6 6 2 2" xfId="12620"/>
    <cellStyle name="Обычный 7 6 6 2 2 2" xfId="12621"/>
    <cellStyle name="Обычный 7 6 6 2 2 3" xfId="12622"/>
    <cellStyle name="Обычный 7 6 6 2 3" xfId="12623"/>
    <cellStyle name="Обычный 7 6 6 2 4" xfId="12624"/>
    <cellStyle name="Обычный 7 6 6 3" xfId="12625"/>
    <cellStyle name="Обычный 7 6 6 3 2" xfId="12626"/>
    <cellStyle name="Обычный 7 6 6 3 3" xfId="12627"/>
    <cellStyle name="Обычный 7 6 6 4" xfId="12628"/>
    <cellStyle name="Обычный 7 6 6 5" xfId="12629"/>
    <cellStyle name="Обычный 7 6 7" xfId="12630"/>
    <cellStyle name="Обычный 7 6 7 2" xfId="12631"/>
    <cellStyle name="Обычный 7 6 7 2 2" xfId="12632"/>
    <cellStyle name="Обычный 7 6 7 2 3" xfId="12633"/>
    <cellStyle name="Обычный 7 6 7 3" xfId="12634"/>
    <cellStyle name="Обычный 7 6 7 4" xfId="12635"/>
    <cellStyle name="Обычный 7 6 8" xfId="12636"/>
    <cellStyle name="Обычный 7 6 8 2" xfId="12637"/>
    <cellStyle name="Обычный 7 6 8 3" xfId="12638"/>
    <cellStyle name="Обычный 7 6 9" xfId="12639"/>
    <cellStyle name="Обычный 7 6_Расчет  30 млн_Технополис  Коренькова" xfId="12640"/>
    <cellStyle name="Обычный 7 7" xfId="12641"/>
    <cellStyle name="Обычный 7 7 10" xfId="12642"/>
    <cellStyle name="Обычный 7 7 2" xfId="12643"/>
    <cellStyle name="Обычный 7 7 2 2" xfId="12644"/>
    <cellStyle name="Обычный 7 7 2 2 2" xfId="12645"/>
    <cellStyle name="Обычный 7 7 2 2 2 2" xfId="12646"/>
    <cellStyle name="Обычный 7 7 2 2 2 3" xfId="12647"/>
    <cellStyle name="Обычный 7 7 2 2 3" xfId="12648"/>
    <cellStyle name="Обычный 7 7 2 2 4" xfId="12649"/>
    <cellStyle name="Обычный 7 7 2 3" xfId="12650"/>
    <cellStyle name="Обычный 7 7 2 3 2" xfId="12651"/>
    <cellStyle name="Обычный 7 7 2 3 3" xfId="12652"/>
    <cellStyle name="Обычный 7 7 2 4" xfId="12653"/>
    <cellStyle name="Обычный 7 7 2 5" xfId="12654"/>
    <cellStyle name="Обычный 7 7 3" xfId="12655"/>
    <cellStyle name="Обычный 7 7 3 2" xfId="12656"/>
    <cellStyle name="Обычный 7 7 3 2 2" xfId="12657"/>
    <cellStyle name="Обычный 7 7 3 2 2 2" xfId="12658"/>
    <cellStyle name="Обычный 7 7 3 2 2 3" xfId="12659"/>
    <cellStyle name="Обычный 7 7 3 2 3" xfId="12660"/>
    <cellStyle name="Обычный 7 7 3 2 4" xfId="12661"/>
    <cellStyle name="Обычный 7 7 3 3" xfId="12662"/>
    <cellStyle name="Обычный 7 7 3 3 2" xfId="12663"/>
    <cellStyle name="Обычный 7 7 3 3 3" xfId="12664"/>
    <cellStyle name="Обычный 7 7 3 4" xfId="12665"/>
    <cellStyle name="Обычный 7 7 3 5" xfId="12666"/>
    <cellStyle name="Обычный 7 7 4" xfId="12667"/>
    <cellStyle name="Обычный 7 7 4 2" xfId="12668"/>
    <cellStyle name="Обычный 7 7 4 2 2" xfId="12669"/>
    <cellStyle name="Обычный 7 7 4 2 2 2" xfId="12670"/>
    <cellStyle name="Обычный 7 7 4 2 2 3" xfId="12671"/>
    <cellStyle name="Обычный 7 7 4 2 3" xfId="12672"/>
    <cellStyle name="Обычный 7 7 4 2 4" xfId="12673"/>
    <cellStyle name="Обычный 7 7 4 3" xfId="12674"/>
    <cellStyle name="Обычный 7 7 4 3 2" xfId="12675"/>
    <cellStyle name="Обычный 7 7 4 3 3" xfId="12676"/>
    <cellStyle name="Обычный 7 7 4 4" xfId="12677"/>
    <cellStyle name="Обычный 7 7 4 5" xfId="12678"/>
    <cellStyle name="Обычный 7 7 5" xfId="12679"/>
    <cellStyle name="Обычный 7 7 5 2" xfId="12680"/>
    <cellStyle name="Обычный 7 7 5 2 2" xfId="12681"/>
    <cellStyle name="Обычный 7 7 5 2 2 2" xfId="12682"/>
    <cellStyle name="Обычный 7 7 5 2 2 3" xfId="12683"/>
    <cellStyle name="Обычный 7 7 5 2 3" xfId="12684"/>
    <cellStyle name="Обычный 7 7 5 2 4" xfId="12685"/>
    <cellStyle name="Обычный 7 7 5 3" xfId="12686"/>
    <cellStyle name="Обычный 7 7 5 3 2" xfId="12687"/>
    <cellStyle name="Обычный 7 7 5 3 3" xfId="12688"/>
    <cellStyle name="Обычный 7 7 5 4" xfId="12689"/>
    <cellStyle name="Обычный 7 7 5 5" xfId="12690"/>
    <cellStyle name="Обычный 7 7 6" xfId="12691"/>
    <cellStyle name="Обычный 7 7 6 2" xfId="12692"/>
    <cellStyle name="Обычный 7 7 6 2 2" xfId="12693"/>
    <cellStyle name="Обычный 7 7 6 2 2 2" xfId="12694"/>
    <cellStyle name="Обычный 7 7 6 2 2 3" xfId="12695"/>
    <cellStyle name="Обычный 7 7 6 2 3" xfId="12696"/>
    <cellStyle name="Обычный 7 7 6 2 4" xfId="12697"/>
    <cellStyle name="Обычный 7 7 6 3" xfId="12698"/>
    <cellStyle name="Обычный 7 7 6 3 2" xfId="12699"/>
    <cellStyle name="Обычный 7 7 6 3 3" xfId="12700"/>
    <cellStyle name="Обычный 7 7 6 4" xfId="12701"/>
    <cellStyle name="Обычный 7 7 6 5" xfId="12702"/>
    <cellStyle name="Обычный 7 7 7" xfId="12703"/>
    <cellStyle name="Обычный 7 7 7 2" xfId="12704"/>
    <cellStyle name="Обычный 7 7 7 2 2" xfId="12705"/>
    <cellStyle name="Обычный 7 7 7 2 3" xfId="12706"/>
    <cellStyle name="Обычный 7 7 7 3" xfId="12707"/>
    <cellStyle name="Обычный 7 7 7 4" xfId="12708"/>
    <cellStyle name="Обычный 7 7 8" xfId="12709"/>
    <cellStyle name="Обычный 7 7 8 2" xfId="12710"/>
    <cellStyle name="Обычный 7 7 8 3" xfId="12711"/>
    <cellStyle name="Обычный 7 7 9" xfId="12712"/>
    <cellStyle name="Обычный 7 7_Расчет  30 млн_Технополис  Коренькова" xfId="12713"/>
    <cellStyle name="Обычный 7 8" xfId="12714"/>
    <cellStyle name="Обычный 7 8 10" xfId="12715"/>
    <cellStyle name="Обычный 7 8 2" xfId="12716"/>
    <cellStyle name="Обычный 7 8 2 2" xfId="12717"/>
    <cellStyle name="Обычный 7 8 2 2 2" xfId="12718"/>
    <cellStyle name="Обычный 7 8 2 2 2 2" xfId="12719"/>
    <cellStyle name="Обычный 7 8 2 2 2 3" xfId="12720"/>
    <cellStyle name="Обычный 7 8 2 2 3" xfId="12721"/>
    <cellStyle name="Обычный 7 8 2 2 4" xfId="12722"/>
    <cellStyle name="Обычный 7 8 2 3" xfId="12723"/>
    <cellStyle name="Обычный 7 8 2 3 2" xfId="12724"/>
    <cellStyle name="Обычный 7 8 2 3 3" xfId="12725"/>
    <cellStyle name="Обычный 7 8 2 4" xfId="12726"/>
    <cellStyle name="Обычный 7 8 2 5" xfId="12727"/>
    <cellStyle name="Обычный 7 8 3" xfId="12728"/>
    <cellStyle name="Обычный 7 8 3 2" xfId="12729"/>
    <cellStyle name="Обычный 7 8 3 2 2" xfId="12730"/>
    <cellStyle name="Обычный 7 8 3 2 2 2" xfId="12731"/>
    <cellStyle name="Обычный 7 8 3 2 2 3" xfId="12732"/>
    <cellStyle name="Обычный 7 8 3 2 3" xfId="12733"/>
    <cellStyle name="Обычный 7 8 3 2 4" xfId="12734"/>
    <cellStyle name="Обычный 7 8 3 3" xfId="12735"/>
    <cellStyle name="Обычный 7 8 3 3 2" xfId="12736"/>
    <cellStyle name="Обычный 7 8 3 3 3" xfId="12737"/>
    <cellStyle name="Обычный 7 8 3 4" xfId="12738"/>
    <cellStyle name="Обычный 7 8 3 5" xfId="12739"/>
    <cellStyle name="Обычный 7 8 4" xfId="12740"/>
    <cellStyle name="Обычный 7 8 4 2" xfId="12741"/>
    <cellStyle name="Обычный 7 8 4 2 2" xfId="12742"/>
    <cellStyle name="Обычный 7 8 4 2 2 2" xfId="12743"/>
    <cellStyle name="Обычный 7 8 4 2 2 3" xfId="12744"/>
    <cellStyle name="Обычный 7 8 4 2 3" xfId="12745"/>
    <cellStyle name="Обычный 7 8 4 2 4" xfId="12746"/>
    <cellStyle name="Обычный 7 8 4 3" xfId="12747"/>
    <cellStyle name="Обычный 7 8 4 3 2" xfId="12748"/>
    <cellStyle name="Обычный 7 8 4 3 3" xfId="12749"/>
    <cellStyle name="Обычный 7 8 4 4" xfId="12750"/>
    <cellStyle name="Обычный 7 8 4 5" xfId="12751"/>
    <cellStyle name="Обычный 7 8 5" xfId="12752"/>
    <cellStyle name="Обычный 7 8 5 2" xfId="12753"/>
    <cellStyle name="Обычный 7 8 5 2 2" xfId="12754"/>
    <cellStyle name="Обычный 7 8 5 2 2 2" xfId="12755"/>
    <cellStyle name="Обычный 7 8 5 2 2 3" xfId="12756"/>
    <cellStyle name="Обычный 7 8 5 2 3" xfId="12757"/>
    <cellStyle name="Обычный 7 8 5 2 4" xfId="12758"/>
    <cellStyle name="Обычный 7 8 5 3" xfId="12759"/>
    <cellStyle name="Обычный 7 8 5 3 2" xfId="12760"/>
    <cellStyle name="Обычный 7 8 5 3 3" xfId="12761"/>
    <cellStyle name="Обычный 7 8 5 4" xfId="12762"/>
    <cellStyle name="Обычный 7 8 5 5" xfId="12763"/>
    <cellStyle name="Обычный 7 8 6" xfId="12764"/>
    <cellStyle name="Обычный 7 8 6 2" xfId="12765"/>
    <cellStyle name="Обычный 7 8 6 2 2" xfId="12766"/>
    <cellStyle name="Обычный 7 8 6 2 2 2" xfId="12767"/>
    <cellStyle name="Обычный 7 8 6 2 2 3" xfId="12768"/>
    <cellStyle name="Обычный 7 8 6 2 3" xfId="12769"/>
    <cellStyle name="Обычный 7 8 6 2 4" xfId="12770"/>
    <cellStyle name="Обычный 7 8 6 3" xfId="12771"/>
    <cellStyle name="Обычный 7 8 6 3 2" xfId="12772"/>
    <cellStyle name="Обычный 7 8 6 3 3" xfId="12773"/>
    <cellStyle name="Обычный 7 8 6 4" xfId="12774"/>
    <cellStyle name="Обычный 7 8 6 5" xfId="12775"/>
    <cellStyle name="Обычный 7 8 7" xfId="12776"/>
    <cellStyle name="Обычный 7 8 7 2" xfId="12777"/>
    <cellStyle name="Обычный 7 8 7 2 2" xfId="12778"/>
    <cellStyle name="Обычный 7 8 7 2 3" xfId="12779"/>
    <cellStyle name="Обычный 7 8 7 3" xfId="12780"/>
    <cellStyle name="Обычный 7 8 7 4" xfId="12781"/>
    <cellStyle name="Обычный 7 8 8" xfId="12782"/>
    <cellStyle name="Обычный 7 8 8 2" xfId="12783"/>
    <cellStyle name="Обычный 7 8 8 3" xfId="12784"/>
    <cellStyle name="Обычный 7 8 9" xfId="12785"/>
    <cellStyle name="Обычный 7 8_Расчет  30 млн_Технополис  Коренькова" xfId="12786"/>
    <cellStyle name="Обычный 7 9" xfId="12787"/>
    <cellStyle name="Обычный 7 9 2" xfId="12788"/>
    <cellStyle name="Обычный 7 9 2 2" xfId="12789"/>
    <cellStyle name="Обычный 7 9 2 2 2" xfId="12790"/>
    <cellStyle name="Обычный 7 9 2 2 3" xfId="12791"/>
    <cellStyle name="Обычный 7 9 2 3" xfId="12792"/>
    <cellStyle name="Обычный 7 9 2 4" xfId="12793"/>
    <cellStyle name="Обычный 7 9 3" xfId="12794"/>
    <cellStyle name="Обычный 7 9 3 2" xfId="12795"/>
    <cellStyle name="Обычный 7 9 3 3" xfId="12796"/>
    <cellStyle name="Обычный 7 9 4" xfId="12797"/>
    <cellStyle name="Обычный 7 9 5" xfId="12798"/>
    <cellStyle name="Обычный 7 9 6" xfId="12799"/>
    <cellStyle name="Обычный 7_1 ВАР. КП 1 293  +8пропорцЛара" xfId="12800"/>
    <cellStyle name="Обычный 70" xfId="12801"/>
    <cellStyle name="Обычный 70 2" xfId="12802"/>
    <cellStyle name="Обычный 71" xfId="12803"/>
    <cellStyle name="Обычный 72" xfId="12804"/>
    <cellStyle name="Обычный 73" xfId="12805"/>
    <cellStyle name="Обычный 74" xfId="12806"/>
    <cellStyle name="Обычный 75" xfId="12807"/>
    <cellStyle name="Обычный 76" xfId="12808"/>
    <cellStyle name="Обычный 77" xfId="12809"/>
    <cellStyle name="Обычный 78" xfId="12810"/>
    <cellStyle name="Обычный 78 2" xfId="12811"/>
    <cellStyle name="Обычный 78 2 2" xfId="12812"/>
    <cellStyle name="Обычный 79" xfId="12813"/>
    <cellStyle name="Обычный 8" xfId="12814"/>
    <cellStyle name="Обычный 8 10" xfId="12815"/>
    <cellStyle name="Обычный 8 10 2" xfId="12816"/>
    <cellStyle name="Обычный 8 10 2 2" xfId="12817"/>
    <cellStyle name="Обычный 8 10 2 2 2" xfId="12818"/>
    <cellStyle name="Обычный 8 10 2 2 3" xfId="12819"/>
    <cellStyle name="Обычный 8 10 2 3" xfId="12820"/>
    <cellStyle name="Обычный 8 10 2 4" xfId="12821"/>
    <cellStyle name="Обычный 8 10 3" xfId="12822"/>
    <cellStyle name="Обычный 8 10 3 2" xfId="12823"/>
    <cellStyle name="Обычный 8 10 3 3" xfId="12824"/>
    <cellStyle name="Обычный 8 10 4" xfId="12825"/>
    <cellStyle name="Обычный 8 10 5" xfId="12826"/>
    <cellStyle name="Обычный 8 11" xfId="12827"/>
    <cellStyle name="Обычный 8 11 2" xfId="12828"/>
    <cellStyle name="Обычный 8 11 2 2" xfId="12829"/>
    <cellStyle name="Обычный 8 11 2 2 2" xfId="12830"/>
    <cellStyle name="Обычный 8 11 2 2 3" xfId="12831"/>
    <cellStyle name="Обычный 8 11 2 3" xfId="12832"/>
    <cellStyle name="Обычный 8 11 2 4" xfId="12833"/>
    <cellStyle name="Обычный 8 11 3" xfId="12834"/>
    <cellStyle name="Обычный 8 11 3 2" xfId="12835"/>
    <cellStyle name="Обычный 8 11 3 3" xfId="12836"/>
    <cellStyle name="Обычный 8 11 4" xfId="12837"/>
    <cellStyle name="Обычный 8 11 5" xfId="12838"/>
    <cellStyle name="Обычный 8 12" xfId="12839"/>
    <cellStyle name="Обычный 8 12 2" xfId="12840"/>
    <cellStyle name="Обычный 8 12 2 2" xfId="12841"/>
    <cellStyle name="Обычный 8 12 2 2 2" xfId="12842"/>
    <cellStyle name="Обычный 8 12 2 2 3" xfId="12843"/>
    <cellStyle name="Обычный 8 12 2 3" xfId="12844"/>
    <cellStyle name="Обычный 8 12 2 4" xfId="12845"/>
    <cellStyle name="Обычный 8 12 3" xfId="12846"/>
    <cellStyle name="Обычный 8 12 3 2" xfId="12847"/>
    <cellStyle name="Обычный 8 12 3 3" xfId="12848"/>
    <cellStyle name="Обычный 8 12 4" xfId="12849"/>
    <cellStyle name="Обычный 8 12 5" xfId="12850"/>
    <cellStyle name="Обычный 8 13" xfId="12851"/>
    <cellStyle name="Обычный 8 13 2" xfId="12852"/>
    <cellStyle name="Обычный 8 13 2 2" xfId="12853"/>
    <cellStyle name="Обычный 8 13 2 2 2" xfId="12854"/>
    <cellStyle name="Обычный 8 13 2 2 3" xfId="12855"/>
    <cellStyle name="Обычный 8 13 2 3" xfId="12856"/>
    <cellStyle name="Обычный 8 13 2 4" xfId="12857"/>
    <cellStyle name="Обычный 8 13 3" xfId="12858"/>
    <cellStyle name="Обычный 8 13 3 2" xfId="12859"/>
    <cellStyle name="Обычный 8 13 3 3" xfId="12860"/>
    <cellStyle name="Обычный 8 13 4" xfId="12861"/>
    <cellStyle name="Обычный 8 13 5" xfId="12862"/>
    <cellStyle name="Обычный 8 14" xfId="12863"/>
    <cellStyle name="Обычный 8 14 2" xfId="12864"/>
    <cellStyle name="Обычный 8 14 2 2" xfId="12865"/>
    <cellStyle name="Обычный 8 14 2 3" xfId="12866"/>
    <cellStyle name="Обычный 8 14 3" xfId="12867"/>
    <cellStyle name="Обычный 8 14 4" xfId="12868"/>
    <cellStyle name="Обычный 8 15" xfId="12869"/>
    <cellStyle name="Обычный 8 15 2" xfId="12870"/>
    <cellStyle name="Обычный 8 15 3" xfId="12871"/>
    <cellStyle name="Обычный 8 16" xfId="12872"/>
    <cellStyle name="Обычный 8 17" xfId="12873"/>
    <cellStyle name="Обычный 8 2" xfId="12874"/>
    <cellStyle name="Обычный 8 2 10" xfId="12875"/>
    <cellStyle name="Обычный 8 2 10 2" xfId="12876"/>
    <cellStyle name="Обычный 8 2 10 2 2" xfId="12877"/>
    <cellStyle name="Обычный 8 2 10 2 2 2" xfId="12878"/>
    <cellStyle name="Обычный 8 2 10 2 2 3" xfId="12879"/>
    <cellStyle name="Обычный 8 2 10 2 3" xfId="12880"/>
    <cellStyle name="Обычный 8 2 10 2 4" xfId="12881"/>
    <cellStyle name="Обычный 8 2 10 3" xfId="12882"/>
    <cellStyle name="Обычный 8 2 10 3 2" xfId="12883"/>
    <cellStyle name="Обычный 8 2 10 3 3" xfId="12884"/>
    <cellStyle name="Обычный 8 2 10 4" xfId="12885"/>
    <cellStyle name="Обычный 8 2 10 5" xfId="12886"/>
    <cellStyle name="Обычный 8 2 11" xfId="12887"/>
    <cellStyle name="Обычный 8 2 11 2" xfId="12888"/>
    <cellStyle name="Обычный 8 2 11 2 2" xfId="12889"/>
    <cellStyle name="Обычный 8 2 11 2 2 2" xfId="12890"/>
    <cellStyle name="Обычный 8 2 11 2 2 3" xfId="12891"/>
    <cellStyle name="Обычный 8 2 11 2 3" xfId="12892"/>
    <cellStyle name="Обычный 8 2 11 2 4" xfId="12893"/>
    <cellStyle name="Обычный 8 2 11 3" xfId="12894"/>
    <cellStyle name="Обычный 8 2 11 3 2" xfId="12895"/>
    <cellStyle name="Обычный 8 2 11 3 3" xfId="12896"/>
    <cellStyle name="Обычный 8 2 11 4" xfId="12897"/>
    <cellStyle name="Обычный 8 2 11 5" xfId="12898"/>
    <cellStyle name="Обычный 8 2 12" xfId="12899"/>
    <cellStyle name="Обычный 8 2 12 2" xfId="12900"/>
    <cellStyle name="Обычный 8 2 12 2 2" xfId="12901"/>
    <cellStyle name="Обычный 8 2 12 2 3" xfId="12902"/>
    <cellStyle name="Обычный 8 2 12 3" xfId="12903"/>
    <cellStyle name="Обычный 8 2 12 4" xfId="12904"/>
    <cellStyle name="Обычный 8 2 13" xfId="12905"/>
    <cellStyle name="Обычный 8 2 13 2" xfId="12906"/>
    <cellStyle name="Обычный 8 2 13 3" xfId="12907"/>
    <cellStyle name="Обычный 8 2 14" xfId="12908"/>
    <cellStyle name="Обычный 8 2 15" xfId="12909"/>
    <cellStyle name="Обычный 8 2 2" xfId="12910"/>
    <cellStyle name="Обычный 8 2 2 10" xfId="12911"/>
    <cellStyle name="Обычный 8 2 2 10 2" xfId="12912"/>
    <cellStyle name="Обычный 8 2 2 10 2 2" xfId="12913"/>
    <cellStyle name="Обычный 8 2 2 10 2 3" xfId="12914"/>
    <cellStyle name="Обычный 8 2 2 10 3" xfId="12915"/>
    <cellStyle name="Обычный 8 2 2 10 4" xfId="12916"/>
    <cellStyle name="Обычный 8 2 2 11" xfId="12917"/>
    <cellStyle name="Обычный 8 2 2 11 2" xfId="12918"/>
    <cellStyle name="Обычный 8 2 2 11 3" xfId="12919"/>
    <cellStyle name="Обычный 8 2 2 12" xfId="12920"/>
    <cellStyle name="Обычный 8 2 2 13" xfId="12921"/>
    <cellStyle name="Обычный 8 2 2 2" xfId="12922"/>
    <cellStyle name="Обычный 8 2 2 2 10" xfId="12923"/>
    <cellStyle name="Обычный 8 2 2 2 2" xfId="12924"/>
    <cellStyle name="Обычный 8 2 2 2 2 2" xfId="12925"/>
    <cellStyle name="Обычный 8 2 2 2 2 2 2" xfId="12926"/>
    <cellStyle name="Обычный 8 2 2 2 2 2 2 2" xfId="12927"/>
    <cellStyle name="Обычный 8 2 2 2 2 2 2 3" xfId="12928"/>
    <cellStyle name="Обычный 8 2 2 2 2 2 3" xfId="12929"/>
    <cellStyle name="Обычный 8 2 2 2 2 2 4" xfId="12930"/>
    <cellStyle name="Обычный 8 2 2 2 2 3" xfId="12931"/>
    <cellStyle name="Обычный 8 2 2 2 2 3 2" xfId="12932"/>
    <cellStyle name="Обычный 8 2 2 2 2 3 3" xfId="12933"/>
    <cellStyle name="Обычный 8 2 2 2 2 4" xfId="12934"/>
    <cellStyle name="Обычный 8 2 2 2 2 5" xfId="12935"/>
    <cellStyle name="Обычный 8 2 2 2 3" xfId="12936"/>
    <cellStyle name="Обычный 8 2 2 2 3 2" xfId="12937"/>
    <cellStyle name="Обычный 8 2 2 2 3 2 2" xfId="12938"/>
    <cellStyle name="Обычный 8 2 2 2 3 2 2 2" xfId="12939"/>
    <cellStyle name="Обычный 8 2 2 2 3 2 2 3" xfId="12940"/>
    <cellStyle name="Обычный 8 2 2 2 3 2 3" xfId="12941"/>
    <cellStyle name="Обычный 8 2 2 2 3 2 4" xfId="12942"/>
    <cellStyle name="Обычный 8 2 2 2 3 3" xfId="12943"/>
    <cellStyle name="Обычный 8 2 2 2 3 3 2" xfId="12944"/>
    <cellStyle name="Обычный 8 2 2 2 3 3 3" xfId="12945"/>
    <cellStyle name="Обычный 8 2 2 2 3 4" xfId="12946"/>
    <cellStyle name="Обычный 8 2 2 2 3 5" xfId="12947"/>
    <cellStyle name="Обычный 8 2 2 2 4" xfId="12948"/>
    <cellStyle name="Обычный 8 2 2 2 4 2" xfId="12949"/>
    <cellStyle name="Обычный 8 2 2 2 4 2 2" xfId="12950"/>
    <cellStyle name="Обычный 8 2 2 2 4 2 2 2" xfId="12951"/>
    <cellStyle name="Обычный 8 2 2 2 4 2 2 3" xfId="12952"/>
    <cellStyle name="Обычный 8 2 2 2 4 2 3" xfId="12953"/>
    <cellStyle name="Обычный 8 2 2 2 4 2 4" xfId="12954"/>
    <cellStyle name="Обычный 8 2 2 2 4 3" xfId="12955"/>
    <cellStyle name="Обычный 8 2 2 2 4 3 2" xfId="12956"/>
    <cellStyle name="Обычный 8 2 2 2 4 3 3" xfId="12957"/>
    <cellStyle name="Обычный 8 2 2 2 4 4" xfId="12958"/>
    <cellStyle name="Обычный 8 2 2 2 4 5" xfId="12959"/>
    <cellStyle name="Обычный 8 2 2 2 5" xfId="12960"/>
    <cellStyle name="Обычный 8 2 2 2 5 2" xfId="12961"/>
    <cellStyle name="Обычный 8 2 2 2 5 2 2" xfId="12962"/>
    <cellStyle name="Обычный 8 2 2 2 5 2 2 2" xfId="12963"/>
    <cellStyle name="Обычный 8 2 2 2 5 2 2 3" xfId="12964"/>
    <cellStyle name="Обычный 8 2 2 2 5 2 3" xfId="12965"/>
    <cellStyle name="Обычный 8 2 2 2 5 2 4" xfId="12966"/>
    <cellStyle name="Обычный 8 2 2 2 5 3" xfId="12967"/>
    <cellStyle name="Обычный 8 2 2 2 5 3 2" xfId="12968"/>
    <cellStyle name="Обычный 8 2 2 2 5 3 3" xfId="12969"/>
    <cellStyle name="Обычный 8 2 2 2 5 4" xfId="12970"/>
    <cellStyle name="Обычный 8 2 2 2 5 5" xfId="12971"/>
    <cellStyle name="Обычный 8 2 2 2 6" xfId="12972"/>
    <cellStyle name="Обычный 8 2 2 2 6 2" xfId="12973"/>
    <cellStyle name="Обычный 8 2 2 2 6 2 2" xfId="12974"/>
    <cellStyle name="Обычный 8 2 2 2 6 2 2 2" xfId="12975"/>
    <cellStyle name="Обычный 8 2 2 2 6 2 2 3" xfId="12976"/>
    <cellStyle name="Обычный 8 2 2 2 6 2 3" xfId="12977"/>
    <cellStyle name="Обычный 8 2 2 2 6 2 4" xfId="12978"/>
    <cellStyle name="Обычный 8 2 2 2 6 3" xfId="12979"/>
    <cellStyle name="Обычный 8 2 2 2 6 3 2" xfId="12980"/>
    <cellStyle name="Обычный 8 2 2 2 6 3 3" xfId="12981"/>
    <cellStyle name="Обычный 8 2 2 2 6 4" xfId="12982"/>
    <cellStyle name="Обычный 8 2 2 2 6 5" xfId="12983"/>
    <cellStyle name="Обычный 8 2 2 2 7" xfId="12984"/>
    <cellStyle name="Обычный 8 2 2 2 7 2" xfId="12985"/>
    <cellStyle name="Обычный 8 2 2 2 7 2 2" xfId="12986"/>
    <cellStyle name="Обычный 8 2 2 2 7 2 3" xfId="12987"/>
    <cellStyle name="Обычный 8 2 2 2 7 3" xfId="12988"/>
    <cellStyle name="Обычный 8 2 2 2 7 4" xfId="12989"/>
    <cellStyle name="Обычный 8 2 2 2 8" xfId="12990"/>
    <cellStyle name="Обычный 8 2 2 2 8 2" xfId="12991"/>
    <cellStyle name="Обычный 8 2 2 2 8 3" xfId="12992"/>
    <cellStyle name="Обычный 8 2 2 2 9" xfId="12993"/>
    <cellStyle name="Обычный 8 2 2 2_Расчет  30 млн_Технополис  Коренькова" xfId="12994"/>
    <cellStyle name="Обычный 8 2 2 3" xfId="12995"/>
    <cellStyle name="Обычный 8 2 2 3 10" xfId="12996"/>
    <cellStyle name="Обычный 8 2 2 3 2" xfId="12997"/>
    <cellStyle name="Обычный 8 2 2 3 2 2" xfId="12998"/>
    <cellStyle name="Обычный 8 2 2 3 2 2 2" xfId="12999"/>
    <cellStyle name="Обычный 8 2 2 3 2 2 2 2" xfId="13000"/>
    <cellStyle name="Обычный 8 2 2 3 2 2 2 3" xfId="13001"/>
    <cellStyle name="Обычный 8 2 2 3 2 2 3" xfId="13002"/>
    <cellStyle name="Обычный 8 2 2 3 2 2 4" xfId="13003"/>
    <cellStyle name="Обычный 8 2 2 3 2 3" xfId="13004"/>
    <cellStyle name="Обычный 8 2 2 3 2 3 2" xfId="13005"/>
    <cellStyle name="Обычный 8 2 2 3 2 3 3" xfId="13006"/>
    <cellStyle name="Обычный 8 2 2 3 2 4" xfId="13007"/>
    <cellStyle name="Обычный 8 2 2 3 2 5" xfId="13008"/>
    <cellStyle name="Обычный 8 2 2 3 3" xfId="13009"/>
    <cellStyle name="Обычный 8 2 2 3 3 2" xfId="13010"/>
    <cellStyle name="Обычный 8 2 2 3 3 2 2" xfId="13011"/>
    <cellStyle name="Обычный 8 2 2 3 3 2 2 2" xfId="13012"/>
    <cellStyle name="Обычный 8 2 2 3 3 2 2 3" xfId="13013"/>
    <cellStyle name="Обычный 8 2 2 3 3 2 3" xfId="13014"/>
    <cellStyle name="Обычный 8 2 2 3 3 2 4" xfId="13015"/>
    <cellStyle name="Обычный 8 2 2 3 3 3" xfId="13016"/>
    <cellStyle name="Обычный 8 2 2 3 3 3 2" xfId="13017"/>
    <cellStyle name="Обычный 8 2 2 3 3 3 3" xfId="13018"/>
    <cellStyle name="Обычный 8 2 2 3 3 4" xfId="13019"/>
    <cellStyle name="Обычный 8 2 2 3 3 5" xfId="13020"/>
    <cellStyle name="Обычный 8 2 2 3 4" xfId="13021"/>
    <cellStyle name="Обычный 8 2 2 3 4 2" xfId="13022"/>
    <cellStyle name="Обычный 8 2 2 3 4 2 2" xfId="13023"/>
    <cellStyle name="Обычный 8 2 2 3 4 2 2 2" xfId="13024"/>
    <cellStyle name="Обычный 8 2 2 3 4 2 2 3" xfId="13025"/>
    <cellStyle name="Обычный 8 2 2 3 4 2 3" xfId="13026"/>
    <cellStyle name="Обычный 8 2 2 3 4 2 4" xfId="13027"/>
    <cellStyle name="Обычный 8 2 2 3 4 3" xfId="13028"/>
    <cellStyle name="Обычный 8 2 2 3 4 3 2" xfId="13029"/>
    <cellStyle name="Обычный 8 2 2 3 4 3 3" xfId="13030"/>
    <cellStyle name="Обычный 8 2 2 3 4 4" xfId="13031"/>
    <cellStyle name="Обычный 8 2 2 3 4 5" xfId="13032"/>
    <cellStyle name="Обычный 8 2 2 3 5" xfId="13033"/>
    <cellStyle name="Обычный 8 2 2 3 5 2" xfId="13034"/>
    <cellStyle name="Обычный 8 2 2 3 5 2 2" xfId="13035"/>
    <cellStyle name="Обычный 8 2 2 3 5 2 2 2" xfId="13036"/>
    <cellStyle name="Обычный 8 2 2 3 5 2 2 3" xfId="13037"/>
    <cellStyle name="Обычный 8 2 2 3 5 2 3" xfId="13038"/>
    <cellStyle name="Обычный 8 2 2 3 5 2 4" xfId="13039"/>
    <cellStyle name="Обычный 8 2 2 3 5 3" xfId="13040"/>
    <cellStyle name="Обычный 8 2 2 3 5 3 2" xfId="13041"/>
    <cellStyle name="Обычный 8 2 2 3 5 3 3" xfId="13042"/>
    <cellStyle name="Обычный 8 2 2 3 5 4" xfId="13043"/>
    <cellStyle name="Обычный 8 2 2 3 5 5" xfId="13044"/>
    <cellStyle name="Обычный 8 2 2 3 6" xfId="13045"/>
    <cellStyle name="Обычный 8 2 2 3 6 2" xfId="13046"/>
    <cellStyle name="Обычный 8 2 2 3 6 2 2" xfId="13047"/>
    <cellStyle name="Обычный 8 2 2 3 6 2 2 2" xfId="13048"/>
    <cellStyle name="Обычный 8 2 2 3 6 2 2 3" xfId="13049"/>
    <cellStyle name="Обычный 8 2 2 3 6 2 3" xfId="13050"/>
    <cellStyle name="Обычный 8 2 2 3 6 2 4" xfId="13051"/>
    <cellStyle name="Обычный 8 2 2 3 6 3" xfId="13052"/>
    <cellStyle name="Обычный 8 2 2 3 6 3 2" xfId="13053"/>
    <cellStyle name="Обычный 8 2 2 3 6 3 3" xfId="13054"/>
    <cellStyle name="Обычный 8 2 2 3 6 4" xfId="13055"/>
    <cellStyle name="Обычный 8 2 2 3 6 5" xfId="13056"/>
    <cellStyle name="Обычный 8 2 2 3 7" xfId="13057"/>
    <cellStyle name="Обычный 8 2 2 3 7 2" xfId="13058"/>
    <cellStyle name="Обычный 8 2 2 3 7 2 2" xfId="13059"/>
    <cellStyle name="Обычный 8 2 2 3 7 2 3" xfId="13060"/>
    <cellStyle name="Обычный 8 2 2 3 7 3" xfId="13061"/>
    <cellStyle name="Обычный 8 2 2 3 7 4" xfId="13062"/>
    <cellStyle name="Обычный 8 2 2 3 8" xfId="13063"/>
    <cellStyle name="Обычный 8 2 2 3 8 2" xfId="13064"/>
    <cellStyle name="Обычный 8 2 2 3 8 3" xfId="13065"/>
    <cellStyle name="Обычный 8 2 2 3 9" xfId="13066"/>
    <cellStyle name="Обычный 8 2 2 3_Расчет  30 млн_Технополис  Коренькова" xfId="13067"/>
    <cellStyle name="Обычный 8 2 2 4" xfId="13068"/>
    <cellStyle name="Обычный 8 2 2 4 10" xfId="13069"/>
    <cellStyle name="Обычный 8 2 2 4 2" xfId="13070"/>
    <cellStyle name="Обычный 8 2 2 4 2 2" xfId="13071"/>
    <cellStyle name="Обычный 8 2 2 4 2 2 2" xfId="13072"/>
    <cellStyle name="Обычный 8 2 2 4 2 3" xfId="13073"/>
    <cellStyle name="Обычный 8 2 2 4 3" xfId="13074"/>
    <cellStyle name="Обычный 8 2 2 4 3 2" xfId="13075"/>
    <cellStyle name="Обычный 8 2 2 4 3 2 2" xfId="13076"/>
    <cellStyle name="Обычный 8 2 2 4 3 2 2 2" xfId="13077"/>
    <cellStyle name="Обычный 8 2 2 4 3 2 2 3" xfId="13078"/>
    <cellStyle name="Обычный 8 2 2 4 3 2 3" xfId="13079"/>
    <cellStyle name="Обычный 8 2 2 4 3 2 4" xfId="13080"/>
    <cellStyle name="Обычный 8 2 2 4 3 3" xfId="13081"/>
    <cellStyle name="Обычный 8 2 2 4 3 3 2" xfId="13082"/>
    <cellStyle name="Обычный 8 2 2 4 3 3 3" xfId="13083"/>
    <cellStyle name="Обычный 8 2 2 4 3 4" xfId="13084"/>
    <cellStyle name="Обычный 8 2 2 4 3 5" xfId="13085"/>
    <cellStyle name="Обычный 8 2 2 4 4" xfId="13086"/>
    <cellStyle name="Обычный 8 2 2 4 4 2" xfId="13087"/>
    <cellStyle name="Обычный 8 2 2 4 4 2 2" xfId="13088"/>
    <cellStyle name="Обычный 8 2 2 4 4 2 2 2" xfId="13089"/>
    <cellStyle name="Обычный 8 2 2 4 4 2 2 3" xfId="13090"/>
    <cellStyle name="Обычный 8 2 2 4 4 2 3" xfId="13091"/>
    <cellStyle name="Обычный 8 2 2 4 4 2 4" xfId="13092"/>
    <cellStyle name="Обычный 8 2 2 4 4 3" xfId="13093"/>
    <cellStyle name="Обычный 8 2 2 4 4 3 2" xfId="13094"/>
    <cellStyle name="Обычный 8 2 2 4 4 3 3" xfId="13095"/>
    <cellStyle name="Обычный 8 2 2 4 4 4" xfId="13096"/>
    <cellStyle name="Обычный 8 2 2 4 4 5" xfId="13097"/>
    <cellStyle name="Обычный 8 2 2 4 5" xfId="13098"/>
    <cellStyle name="Обычный 8 2 2 4 5 2" xfId="13099"/>
    <cellStyle name="Обычный 8 2 2 4 5 2 2" xfId="13100"/>
    <cellStyle name="Обычный 8 2 2 4 5 2 2 2" xfId="13101"/>
    <cellStyle name="Обычный 8 2 2 4 5 2 2 3" xfId="13102"/>
    <cellStyle name="Обычный 8 2 2 4 5 2 3" xfId="13103"/>
    <cellStyle name="Обычный 8 2 2 4 5 2 4" xfId="13104"/>
    <cellStyle name="Обычный 8 2 2 4 5 3" xfId="13105"/>
    <cellStyle name="Обычный 8 2 2 4 5 3 2" xfId="13106"/>
    <cellStyle name="Обычный 8 2 2 4 5 3 3" xfId="13107"/>
    <cellStyle name="Обычный 8 2 2 4 5 4" xfId="13108"/>
    <cellStyle name="Обычный 8 2 2 4 5 5" xfId="13109"/>
    <cellStyle name="Обычный 8 2 2 4 6" xfId="13110"/>
    <cellStyle name="Обычный 8 2 2 4 6 2" xfId="13111"/>
    <cellStyle name="Обычный 8 2 2 4 6 2 2" xfId="13112"/>
    <cellStyle name="Обычный 8 2 2 4 6 2 2 2" xfId="13113"/>
    <cellStyle name="Обычный 8 2 2 4 6 2 2 3" xfId="13114"/>
    <cellStyle name="Обычный 8 2 2 4 6 2 3" xfId="13115"/>
    <cellStyle name="Обычный 8 2 2 4 6 2 4" xfId="13116"/>
    <cellStyle name="Обычный 8 2 2 4 6 3" xfId="13117"/>
    <cellStyle name="Обычный 8 2 2 4 6 3 2" xfId="13118"/>
    <cellStyle name="Обычный 8 2 2 4 6 3 3" xfId="13119"/>
    <cellStyle name="Обычный 8 2 2 4 6 4" xfId="13120"/>
    <cellStyle name="Обычный 8 2 2 4 6 5" xfId="13121"/>
    <cellStyle name="Обычный 8 2 2 4 7" xfId="13122"/>
    <cellStyle name="Обычный 8 2 2 4 7 2" xfId="13123"/>
    <cellStyle name="Обычный 8 2 2 4 7 2 2" xfId="13124"/>
    <cellStyle name="Обычный 8 2 2 4 7 2 3" xfId="13125"/>
    <cellStyle name="Обычный 8 2 2 4 7 3" xfId="13126"/>
    <cellStyle name="Обычный 8 2 2 4 7 4" xfId="13127"/>
    <cellStyle name="Обычный 8 2 2 4 8" xfId="13128"/>
    <cellStyle name="Обычный 8 2 2 4 8 2" xfId="13129"/>
    <cellStyle name="Обычный 8 2 2 4 8 3" xfId="13130"/>
    <cellStyle name="Обычный 8 2 2 4 9" xfId="13131"/>
    <cellStyle name="Обычный 8 2 2 4_Расчет  30 млн_Технополис  Коренькова" xfId="13132"/>
    <cellStyle name="Обычный 8 2 2 5" xfId="13133"/>
    <cellStyle name="Обычный 8 2 2 5 2" xfId="13134"/>
    <cellStyle name="Обычный 8 2 2 5 2 2" xfId="13135"/>
    <cellStyle name="Обычный 8 2 2 5 2 2 2" xfId="13136"/>
    <cellStyle name="Обычный 8 2 2 5 2 2 3" xfId="13137"/>
    <cellStyle name="Обычный 8 2 2 5 2 3" xfId="13138"/>
    <cellStyle name="Обычный 8 2 2 5 2 4" xfId="13139"/>
    <cellStyle name="Обычный 8 2 2 5 3" xfId="13140"/>
    <cellStyle name="Обычный 8 2 2 5 3 2" xfId="13141"/>
    <cellStyle name="Обычный 8 2 2 5 3 3" xfId="13142"/>
    <cellStyle name="Обычный 8 2 2 5 4" xfId="13143"/>
    <cellStyle name="Обычный 8 2 2 5 5" xfId="13144"/>
    <cellStyle name="Обычный 8 2 2 6" xfId="13145"/>
    <cellStyle name="Обычный 8 2 2 6 2" xfId="13146"/>
    <cellStyle name="Обычный 8 2 2 6 2 2" xfId="13147"/>
    <cellStyle name="Обычный 8 2 2 6 2 2 2" xfId="13148"/>
    <cellStyle name="Обычный 8 2 2 6 2 2 3" xfId="13149"/>
    <cellStyle name="Обычный 8 2 2 6 2 3" xfId="13150"/>
    <cellStyle name="Обычный 8 2 2 6 2 4" xfId="13151"/>
    <cellStyle name="Обычный 8 2 2 6 3" xfId="13152"/>
    <cellStyle name="Обычный 8 2 2 6 3 2" xfId="13153"/>
    <cellStyle name="Обычный 8 2 2 6 3 3" xfId="13154"/>
    <cellStyle name="Обычный 8 2 2 6 4" xfId="13155"/>
    <cellStyle name="Обычный 8 2 2 6 5" xfId="13156"/>
    <cellStyle name="Обычный 8 2 2 7" xfId="13157"/>
    <cellStyle name="Обычный 8 2 2 7 2" xfId="13158"/>
    <cellStyle name="Обычный 8 2 2 7 2 2" xfId="13159"/>
    <cellStyle name="Обычный 8 2 2 7 2 2 2" xfId="13160"/>
    <cellStyle name="Обычный 8 2 2 7 2 2 3" xfId="13161"/>
    <cellStyle name="Обычный 8 2 2 7 2 3" xfId="13162"/>
    <cellStyle name="Обычный 8 2 2 7 2 4" xfId="13163"/>
    <cellStyle name="Обычный 8 2 2 7 3" xfId="13164"/>
    <cellStyle name="Обычный 8 2 2 7 3 2" xfId="13165"/>
    <cellStyle name="Обычный 8 2 2 7 3 3" xfId="13166"/>
    <cellStyle name="Обычный 8 2 2 7 4" xfId="13167"/>
    <cellStyle name="Обычный 8 2 2 7 5" xfId="13168"/>
    <cellStyle name="Обычный 8 2 2 8" xfId="13169"/>
    <cellStyle name="Обычный 8 2 2 8 2" xfId="13170"/>
    <cellStyle name="Обычный 8 2 2 8 2 2" xfId="13171"/>
    <cellStyle name="Обычный 8 2 2 8 2 2 2" xfId="13172"/>
    <cellStyle name="Обычный 8 2 2 8 2 2 3" xfId="13173"/>
    <cellStyle name="Обычный 8 2 2 8 2 3" xfId="13174"/>
    <cellStyle name="Обычный 8 2 2 8 2 4" xfId="13175"/>
    <cellStyle name="Обычный 8 2 2 8 3" xfId="13176"/>
    <cellStyle name="Обычный 8 2 2 8 3 2" xfId="13177"/>
    <cellStyle name="Обычный 8 2 2 8 3 3" xfId="13178"/>
    <cellStyle name="Обычный 8 2 2 8 4" xfId="13179"/>
    <cellStyle name="Обычный 8 2 2 8 5" xfId="13180"/>
    <cellStyle name="Обычный 8 2 2 9" xfId="13181"/>
    <cellStyle name="Обычный 8 2 2 9 2" xfId="13182"/>
    <cellStyle name="Обычный 8 2 2 9 2 2" xfId="13183"/>
    <cellStyle name="Обычный 8 2 2 9 2 2 2" xfId="13184"/>
    <cellStyle name="Обычный 8 2 2 9 2 2 3" xfId="13185"/>
    <cellStyle name="Обычный 8 2 2 9 2 3" xfId="13186"/>
    <cellStyle name="Обычный 8 2 2 9 2 4" xfId="13187"/>
    <cellStyle name="Обычный 8 2 2 9 3" xfId="13188"/>
    <cellStyle name="Обычный 8 2 2 9 3 2" xfId="13189"/>
    <cellStyle name="Обычный 8 2 2 9 3 3" xfId="13190"/>
    <cellStyle name="Обычный 8 2 2 9 4" xfId="13191"/>
    <cellStyle name="Обычный 8 2 2 9 5" xfId="13192"/>
    <cellStyle name="Обычный 8 2 2_1 ВАР. КП 1 293  +8пропорцЛара" xfId="13193"/>
    <cellStyle name="Обычный 8 2 3" xfId="13194"/>
    <cellStyle name="Обычный 8 2 3 10" xfId="13195"/>
    <cellStyle name="Обычный 8 2 3 2" xfId="13196"/>
    <cellStyle name="Обычный 8 2 3 2 2" xfId="13197"/>
    <cellStyle name="Обычный 8 2 3 2 2 2" xfId="13198"/>
    <cellStyle name="Обычный 8 2 3 2 2 2 2" xfId="13199"/>
    <cellStyle name="Обычный 8 2 3 2 2 2 3" xfId="13200"/>
    <cellStyle name="Обычный 8 2 3 2 2 3" xfId="13201"/>
    <cellStyle name="Обычный 8 2 3 2 2 4" xfId="13202"/>
    <cellStyle name="Обычный 8 2 3 2 3" xfId="13203"/>
    <cellStyle name="Обычный 8 2 3 2 3 2" xfId="13204"/>
    <cellStyle name="Обычный 8 2 3 2 3 3" xfId="13205"/>
    <cellStyle name="Обычный 8 2 3 2 4" xfId="13206"/>
    <cellStyle name="Обычный 8 2 3 2 5" xfId="13207"/>
    <cellStyle name="Обычный 8 2 3 3" xfId="13208"/>
    <cellStyle name="Обычный 8 2 3 3 2" xfId="13209"/>
    <cellStyle name="Обычный 8 2 3 3 2 2" xfId="13210"/>
    <cellStyle name="Обычный 8 2 3 3 2 2 2" xfId="13211"/>
    <cellStyle name="Обычный 8 2 3 3 2 2 3" xfId="13212"/>
    <cellStyle name="Обычный 8 2 3 3 2 3" xfId="13213"/>
    <cellStyle name="Обычный 8 2 3 3 2 4" xfId="13214"/>
    <cellStyle name="Обычный 8 2 3 3 3" xfId="13215"/>
    <cellStyle name="Обычный 8 2 3 3 3 2" xfId="13216"/>
    <cellStyle name="Обычный 8 2 3 3 3 3" xfId="13217"/>
    <cellStyle name="Обычный 8 2 3 3 4" xfId="13218"/>
    <cellStyle name="Обычный 8 2 3 3 5" xfId="13219"/>
    <cellStyle name="Обычный 8 2 3 4" xfId="13220"/>
    <cellStyle name="Обычный 8 2 3 4 2" xfId="13221"/>
    <cellStyle name="Обычный 8 2 3 4 2 2" xfId="13222"/>
    <cellStyle name="Обычный 8 2 3 4 2 2 2" xfId="13223"/>
    <cellStyle name="Обычный 8 2 3 4 2 2 3" xfId="13224"/>
    <cellStyle name="Обычный 8 2 3 4 2 3" xfId="13225"/>
    <cellStyle name="Обычный 8 2 3 4 2 4" xfId="13226"/>
    <cellStyle name="Обычный 8 2 3 4 3" xfId="13227"/>
    <cellStyle name="Обычный 8 2 3 4 3 2" xfId="13228"/>
    <cellStyle name="Обычный 8 2 3 4 3 3" xfId="13229"/>
    <cellStyle name="Обычный 8 2 3 4 4" xfId="13230"/>
    <cellStyle name="Обычный 8 2 3 4 5" xfId="13231"/>
    <cellStyle name="Обычный 8 2 3 5" xfId="13232"/>
    <cellStyle name="Обычный 8 2 3 5 2" xfId="13233"/>
    <cellStyle name="Обычный 8 2 3 5 2 2" xfId="13234"/>
    <cellStyle name="Обычный 8 2 3 5 2 2 2" xfId="13235"/>
    <cellStyle name="Обычный 8 2 3 5 2 2 3" xfId="13236"/>
    <cellStyle name="Обычный 8 2 3 5 2 3" xfId="13237"/>
    <cellStyle name="Обычный 8 2 3 5 2 4" xfId="13238"/>
    <cellStyle name="Обычный 8 2 3 5 3" xfId="13239"/>
    <cellStyle name="Обычный 8 2 3 5 3 2" xfId="13240"/>
    <cellStyle name="Обычный 8 2 3 5 3 3" xfId="13241"/>
    <cellStyle name="Обычный 8 2 3 5 4" xfId="13242"/>
    <cellStyle name="Обычный 8 2 3 5 5" xfId="13243"/>
    <cellStyle name="Обычный 8 2 3 6" xfId="13244"/>
    <cellStyle name="Обычный 8 2 3 6 2" xfId="13245"/>
    <cellStyle name="Обычный 8 2 3 6 2 2" xfId="13246"/>
    <cellStyle name="Обычный 8 2 3 6 2 2 2" xfId="13247"/>
    <cellStyle name="Обычный 8 2 3 6 2 2 3" xfId="13248"/>
    <cellStyle name="Обычный 8 2 3 6 2 3" xfId="13249"/>
    <cellStyle name="Обычный 8 2 3 6 2 4" xfId="13250"/>
    <cellStyle name="Обычный 8 2 3 6 3" xfId="13251"/>
    <cellStyle name="Обычный 8 2 3 6 3 2" xfId="13252"/>
    <cellStyle name="Обычный 8 2 3 6 3 3" xfId="13253"/>
    <cellStyle name="Обычный 8 2 3 6 4" xfId="13254"/>
    <cellStyle name="Обычный 8 2 3 6 5" xfId="13255"/>
    <cellStyle name="Обычный 8 2 3 7" xfId="13256"/>
    <cellStyle name="Обычный 8 2 3 7 2" xfId="13257"/>
    <cellStyle name="Обычный 8 2 3 7 2 2" xfId="13258"/>
    <cellStyle name="Обычный 8 2 3 7 2 3" xfId="13259"/>
    <cellStyle name="Обычный 8 2 3 7 3" xfId="13260"/>
    <cellStyle name="Обычный 8 2 3 7 4" xfId="13261"/>
    <cellStyle name="Обычный 8 2 3 8" xfId="13262"/>
    <cellStyle name="Обычный 8 2 3 8 2" xfId="13263"/>
    <cellStyle name="Обычный 8 2 3 8 3" xfId="13264"/>
    <cellStyle name="Обычный 8 2 3 9" xfId="13265"/>
    <cellStyle name="Обычный 8 2 3_Расчет  30 млн_Технополис  Коренькова" xfId="13266"/>
    <cellStyle name="Обычный 8 2 4" xfId="13267"/>
    <cellStyle name="Обычный 8 2 4 10" xfId="13268"/>
    <cellStyle name="Обычный 8 2 4 2" xfId="13269"/>
    <cellStyle name="Обычный 8 2 4 2 2" xfId="13270"/>
    <cellStyle name="Обычный 8 2 4 2 2 2" xfId="13271"/>
    <cellStyle name="Обычный 8 2 4 2 2 2 2" xfId="13272"/>
    <cellStyle name="Обычный 8 2 4 2 2 2 3" xfId="13273"/>
    <cellStyle name="Обычный 8 2 4 2 2 3" xfId="13274"/>
    <cellStyle name="Обычный 8 2 4 2 2 4" xfId="13275"/>
    <cellStyle name="Обычный 8 2 4 2 3" xfId="13276"/>
    <cellStyle name="Обычный 8 2 4 2 3 2" xfId="13277"/>
    <cellStyle name="Обычный 8 2 4 2 3 3" xfId="13278"/>
    <cellStyle name="Обычный 8 2 4 2 4" xfId="13279"/>
    <cellStyle name="Обычный 8 2 4 2 5" xfId="13280"/>
    <cellStyle name="Обычный 8 2 4 3" xfId="13281"/>
    <cellStyle name="Обычный 8 2 4 3 2" xfId="13282"/>
    <cellStyle name="Обычный 8 2 4 3 2 2" xfId="13283"/>
    <cellStyle name="Обычный 8 2 4 3 2 2 2" xfId="13284"/>
    <cellStyle name="Обычный 8 2 4 3 2 2 3" xfId="13285"/>
    <cellStyle name="Обычный 8 2 4 3 2 3" xfId="13286"/>
    <cellStyle name="Обычный 8 2 4 3 2 4" xfId="13287"/>
    <cellStyle name="Обычный 8 2 4 3 3" xfId="13288"/>
    <cellStyle name="Обычный 8 2 4 3 3 2" xfId="13289"/>
    <cellStyle name="Обычный 8 2 4 3 3 3" xfId="13290"/>
    <cellStyle name="Обычный 8 2 4 3 4" xfId="13291"/>
    <cellStyle name="Обычный 8 2 4 3 5" xfId="13292"/>
    <cellStyle name="Обычный 8 2 4 4" xfId="13293"/>
    <cellStyle name="Обычный 8 2 4 4 2" xfId="13294"/>
    <cellStyle name="Обычный 8 2 4 4 2 2" xfId="13295"/>
    <cellStyle name="Обычный 8 2 4 4 2 2 2" xfId="13296"/>
    <cellStyle name="Обычный 8 2 4 4 2 2 3" xfId="13297"/>
    <cellStyle name="Обычный 8 2 4 4 2 3" xfId="13298"/>
    <cellStyle name="Обычный 8 2 4 4 2 4" xfId="13299"/>
    <cellStyle name="Обычный 8 2 4 4 3" xfId="13300"/>
    <cellStyle name="Обычный 8 2 4 4 3 2" xfId="13301"/>
    <cellStyle name="Обычный 8 2 4 4 3 3" xfId="13302"/>
    <cellStyle name="Обычный 8 2 4 4 4" xfId="13303"/>
    <cellStyle name="Обычный 8 2 4 4 5" xfId="13304"/>
    <cellStyle name="Обычный 8 2 4 5" xfId="13305"/>
    <cellStyle name="Обычный 8 2 4 5 2" xfId="13306"/>
    <cellStyle name="Обычный 8 2 4 5 2 2" xfId="13307"/>
    <cellStyle name="Обычный 8 2 4 5 2 2 2" xfId="13308"/>
    <cellStyle name="Обычный 8 2 4 5 2 2 3" xfId="13309"/>
    <cellStyle name="Обычный 8 2 4 5 2 3" xfId="13310"/>
    <cellStyle name="Обычный 8 2 4 5 2 4" xfId="13311"/>
    <cellStyle name="Обычный 8 2 4 5 3" xfId="13312"/>
    <cellStyle name="Обычный 8 2 4 5 3 2" xfId="13313"/>
    <cellStyle name="Обычный 8 2 4 5 3 3" xfId="13314"/>
    <cellStyle name="Обычный 8 2 4 5 4" xfId="13315"/>
    <cellStyle name="Обычный 8 2 4 5 5" xfId="13316"/>
    <cellStyle name="Обычный 8 2 4 6" xfId="13317"/>
    <cellStyle name="Обычный 8 2 4 6 2" xfId="13318"/>
    <cellStyle name="Обычный 8 2 4 6 2 2" xfId="13319"/>
    <cellStyle name="Обычный 8 2 4 6 2 2 2" xfId="13320"/>
    <cellStyle name="Обычный 8 2 4 6 2 2 3" xfId="13321"/>
    <cellStyle name="Обычный 8 2 4 6 2 3" xfId="13322"/>
    <cellStyle name="Обычный 8 2 4 6 2 4" xfId="13323"/>
    <cellStyle name="Обычный 8 2 4 6 3" xfId="13324"/>
    <cellStyle name="Обычный 8 2 4 6 3 2" xfId="13325"/>
    <cellStyle name="Обычный 8 2 4 6 3 3" xfId="13326"/>
    <cellStyle name="Обычный 8 2 4 6 4" xfId="13327"/>
    <cellStyle name="Обычный 8 2 4 6 5" xfId="13328"/>
    <cellStyle name="Обычный 8 2 4 7" xfId="13329"/>
    <cellStyle name="Обычный 8 2 4 7 2" xfId="13330"/>
    <cellStyle name="Обычный 8 2 4 7 2 2" xfId="13331"/>
    <cellStyle name="Обычный 8 2 4 7 2 3" xfId="13332"/>
    <cellStyle name="Обычный 8 2 4 7 3" xfId="13333"/>
    <cellStyle name="Обычный 8 2 4 7 4" xfId="13334"/>
    <cellStyle name="Обычный 8 2 4 8" xfId="13335"/>
    <cellStyle name="Обычный 8 2 4 8 2" xfId="13336"/>
    <cellStyle name="Обычный 8 2 4 8 3" xfId="13337"/>
    <cellStyle name="Обычный 8 2 4 9" xfId="13338"/>
    <cellStyle name="Обычный 8 2 4_Расчет  30 млн_Технополис  Коренькова" xfId="13339"/>
    <cellStyle name="Обычный 8 2 5" xfId="13340"/>
    <cellStyle name="Обычный 8 2 5 10" xfId="13341"/>
    <cellStyle name="Обычный 8 2 5 2" xfId="13342"/>
    <cellStyle name="Обычный 8 2 5 2 2" xfId="13343"/>
    <cellStyle name="Обычный 8 2 5 2 2 2" xfId="13344"/>
    <cellStyle name="Обычный 8 2 5 2 2 2 2" xfId="13345"/>
    <cellStyle name="Обычный 8 2 5 2 2 2 3" xfId="13346"/>
    <cellStyle name="Обычный 8 2 5 2 2 3" xfId="13347"/>
    <cellStyle name="Обычный 8 2 5 2 2 4" xfId="13348"/>
    <cellStyle name="Обычный 8 2 5 2 3" xfId="13349"/>
    <cellStyle name="Обычный 8 2 5 2 3 2" xfId="13350"/>
    <cellStyle name="Обычный 8 2 5 2 3 3" xfId="13351"/>
    <cellStyle name="Обычный 8 2 5 2 4" xfId="13352"/>
    <cellStyle name="Обычный 8 2 5 2 5" xfId="13353"/>
    <cellStyle name="Обычный 8 2 5 3" xfId="13354"/>
    <cellStyle name="Обычный 8 2 5 3 2" xfId="13355"/>
    <cellStyle name="Обычный 8 2 5 3 2 2" xfId="13356"/>
    <cellStyle name="Обычный 8 2 5 3 2 2 2" xfId="13357"/>
    <cellStyle name="Обычный 8 2 5 3 2 2 3" xfId="13358"/>
    <cellStyle name="Обычный 8 2 5 3 2 3" xfId="13359"/>
    <cellStyle name="Обычный 8 2 5 3 2 4" xfId="13360"/>
    <cellStyle name="Обычный 8 2 5 3 3" xfId="13361"/>
    <cellStyle name="Обычный 8 2 5 3 3 2" xfId="13362"/>
    <cellStyle name="Обычный 8 2 5 3 3 3" xfId="13363"/>
    <cellStyle name="Обычный 8 2 5 3 4" xfId="13364"/>
    <cellStyle name="Обычный 8 2 5 3 5" xfId="13365"/>
    <cellStyle name="Обычный 8 2 5 4" xfId="13366"/>
    <cellStyle name="Обычный 8 2 5 4 2" xfId="13367"/>
    <cellStyle name="Обычный 8 2 5 4 2 2" xfId="13368"/>
    <cellStyle name="Обычный 8 2 5 4 2 2 2" xfId="13369"/>
    <cellStyle name="Обычный 8 2 5 4 2 2 3" xfId="13370"/>
    <cellStyle name="Обычный 8 2 5 4 2 3" xfId="13371"/>
    <cellStyle name="Обычный 8 2 5 4 2 4" xfId="13372"/>
    <cellStyle name="Обычный 8 2 5 4 3" xfId="13373"/>
    <cellStyle name="Обычный 8 2 5 4 3 2" xfId="13374"/>
    <cellStyle name="Обычный 8 2 5 4 3 3" xfId="13375"/>
    <cellStyle name="Обычный 8 2 5 4 4" xfId="13376"/>
    <cellStyle name="Обычный 8 2 5 4 5" xfId="13377"/>
    <cellStyle name="Обычный 8 2 5 5" xfId="13378"/>
    <cellStyle name="Обычный 8 2 5 5 2" xfId="13379"/>
    <cellStyle name="Обычный 8 2 5 5 2 2" xfId="13380"/>
    <cellStyle name="Обычный 8 2 5 5 2 2 2" xfId="13381"/>
    <cellStyle name="Обычный 8 2 5 5 2 2 3" xfId="13382"/>
    <cellStyle name="Обычный 8 2 5 5 2 3" xfId="13383"/>
    <cellStyle name="Обычный 8 2 5 5 2 4" xfId="13384"/>
    <cellStyle name="Обычный 8 2 5 5 3" xfId="13385"/>
    <cellStyle name="Обычный 8 2 5 5 3 2" xfId="13386"/>
    <cellStyle name="Обычный 8 2 5 5 3 3" xfId="13387"/>
    <cellStyle name="Обычный 8 2 5 5 4" xfId="13388"/>
    <cellStyle name="Обычный 8 2 5 5 5" xfId="13389"/>
    <cellStyle name="Обычный 8 2 5 6" xfId="13390"/>
    <cellStyle name="Обычный 8 2 5 6 2" xfId="13391"/>
    <cellStyle name="Обычный 8 2 5 6 2 2" xfId="13392"/>
    <cellStyle name="Обычный 8 2 5 6 2 2 2" xfId="13393"/>
    <cellStyle name="Обычный 8 2 5 6 2 2 3" xfId="13394"/>
    <cellStyle name="Обычный 8 2 5 6 2 3" xfId="13395"/>
    <cellStyle name="Обычный 8 2 5 6 2 4" xfId="13396"/>
    <cellStyle name="Обычный 8 2 5 6 3" xfId="13397"/>
    <cellStyle name="Обычный 8 2 5 6 3 2" xfId="13398"/>
    <cellStyle name="Обычный 8 2 5 6 3 3" xfId="13399"/>
    <cellStyle name="Обычный 8 2 5 6 4" xfId="13400"/>
    <cellStyle name="Обычный 8 2 5 6 5" xfId="13401"/>
    <cellStyle name="Обычный 8 2 5 7" xfId="13402"/>
    <cellStyle name="Обычный 8 2 5 7 2" xfId="13403"/>
    <cellStyle name="Обычный 8 2 5 7 2 2" xfId="13404"/>
    <cellStyle name="Обычный 8 2 5 7 2 3" xfId="13405"/>
    <cellStyle name="Обычный 8 2 5 7 3" xfId="13406"/>
    <cellStyle name="Обычный 8 2 5 7 4" xfId="13407"/>
    <cellStyle name="Обычный 8 2 5 8" xfId="13408"/>
    <cellStyle name="Обычный 8 2 5 8 2" xfId="13409"/>
    <cellStyle name="Обычный 8 2 5 8 3" xfId="13410"/>
    <cellStyle name="Обычный 8 2 5 9" xfId="13411"/>
    <cellStyle name="Обычный 8 2 5_Расчет  30 млн_Технополис  Коренькова" xfId="13412"/>
    <cellStyle name="Обычный 8 2 6" xfId="13413"/>
    <cellStyle name="Обычный 8 2 6 10" xfId="13414"/>
    <cellStyle name="Обычный 8 2 6 2" xfId="13415"/>
    <cellStyle name="Обычный 8 2 6 2 2" xfId="13416"/>
    <cellStyle name="Обычный 8 2 6 2 2 2" xfId="13417"/>
    <cellStyle name="Обычный 8 2 6 2 2 2 2" xfId="13418"/>
    <cellStyle name="Обычный 8 2 6 2 2 2 3" xfId="13419"/>
    <cellStyle name="Обычный 8 2 6 2 2 3" xfId="13420"/>
    <cellStyle name="Обычный 8 2 6 2 2 4" xfId="13421"/>
    <cellStyle name="Обычный 8 2 6 2 3" xfId="13422"/>
    <cellStyle name="Обычный 8 2 6 2 3 2" xfId="13423"/>
    <cellStyle name="Обычный 8 2 6 2 3 3" xfId="13424"/>
    <cellStyle name="Обычный 8 2 6 2 4" xfId="13425"/>
    <cellStyle name="Обычный 8 2 6 2 5" xfId="13426"/>
    <cellStyle name="Обычный 8 2 6 3" xfId="13427"/>
    <cellStyle name="Обычный 8 2 6 3 2" xfId="13428"/>
    <cellStyle name="Обычный 8 2 6 3 2 2" xfId="13429"/>
    <cellStyle name="Обычный 8 2 6 3 2 2 2" xfId="13430"/>
    <cellStyle name="Обычный 8 2 6 3 2 2 3" xfId="13431"/>
    <cellStyle name="Обычный 8 2 6 3 2 3" xfId="13432"/>
    <cellStyle name="Обычный 8 2 6 3 2 4" xfId="13433"/>
    <cellStyle name="Обычный 8 2 6 3 3" xfId="13434"/>
    <cellStyle name="Обычный 8 2 6 3 3 2" xfId="13435"/>
    <cellStyle name="Обычный 8 2 6 3 3 3" xfId="13436"/>
    <cellStyle name="Обычный 8 2 6 3 4" xfId="13437"/>
    <cellStyle name="Обычный 8 2 6 3 5" xfId="13438"/>
    <cellStyle name="Обычный 8 2 6 4" xfId="13439"/>
    <cellStyle name="Обычный 8 2 6 4 2" xfId="13440"/>
    <cellStyle name="Обычный 8 2 6 4 2 2" xfId="13441"/>
    <cellStyle name="Обычный 8 2 6 4 2 2 2" xfId="13442"/>
    <cellStyle name="Обычный 8 2 6 4 2 2 3" xfId="13443"/>
    <cellStyle name="Обычный 8 2 6 4 2 3" xfId="13444"/>
    <cellStyle name="Обычный 8 2 6 4 2 4" xfId="13445"/>
    <cellStyle name="Обычный 8 2 6 4 3" xfId="13446"/>
    <cellStyle name="Обычный 8 2 6 4 3 2" xfId="13447"/>
    <cellStyle name="Обычный 8 2 6 4 3 3" xfId="13448"/>
    <cellStyle name="Обычный 8 2 6 4 4" xfId="13449"/>
    <cellStyle name="Обычный 8 2 6 4 5" xfId="13450"/>
    <cellStyle name="Обычный 8 2 6 5" xfId="13451"/>
    <cellStyle name="Обычный 8 2 6 5 2" xfId="13452"/>
    <cellStyle name="Обычный 8 2 6 5 2 2" xfId="13453"/>
    <cellStyle name="Обычный 8 2 6 5 2 2 2" xfId="13454"/>
    <cellStyle name="Обычный 8 2 6 5 2 2 3" xfId="13455"/>
    <cellStyle name="Обычный 8 2 6 5 2 3" xfId="13456"/>
    <cellStyle name="Обычный 8 2 6 5 2 4" xfId="13457"/>
    <cellStyle name="Обычный 8 2 6 5 3" xfId="13458"/>
    <cellStyle name="Обычный 8 2 6 5 3 2" xfId="13459"/>
    <cellStyle name="Обычный 8 2 6 5 3 3" xfId="13460"/>
    <cellStyle name="Обычный 8 2 6 5 4" xfId="13461"/>
    <cellStyle name="Обычный 8 2 6 5 5" xfId="13462"/>
    <cellStyle name="Обычный 8 2 6 6" xfId="13463"/>
    <cellStyle name="Обычный 8 2 6 6 2" xfId="13464"/>
    <cellStyle name="Обычный 8 2 6 6 2 2" xfId="13465"/>
    <cellStyle name="Обычный 8 2 6 6 2 2 2" xfId="13466"/>
    <cellStyle name="Обычный 8 2 6 6 2 2 3" xfId="13467"/>
    <cellStyle name="Обычный 8 2 6 6 2 3" xfId="13468"/>
    <cellStyle name="Обычный 8 2 6 6 2 4" xfId="13469"/>
    <cellStyle name="Обычный 8 2 6 6 3" xfId="13470"/>
    <cellStyle name="Обычный 8 2 6 6 3 2" xfId="13471"/>
    <cellStyle name="Обычный 8 2 6 6 3 3" xfId="13472"/>
    <cellStyle name="Обычный 8 2 6 6 4" xfId="13473"/>
    <cellStyle name="Обычный 8 2 6 6 5" xfId="13474"/>
    <cellStyle name="Обычный 8 2 6 7" xfId="13475"/>
    <cellStyle name="Обычный 8 2 6 7 2" xfId="13476"/>
    <cellStyle name="Обычный 8 2 6 7 2 2" xfId="13477"/>
    <cellStyle name="Обычный 8 2 6 7 2 3" xfId="13478"/>
    <cellStyle name="Обычный 8 2 6 7 3" xfId="13479"/>
    <cellStyle name="Обычный 8 2 6 7 4" xfId="13480"/>
    <cellStyle name="Обычный 8 2 6 8" xfId="13481"/>
    <cellStyle name="Обычный 8 2 6 8 2" xfId="13482"/>
    <cellStyle name="Обычный 8 2 6 8 3" xfId="13483"/>
    <cellStyle name="Обычный 8 2 6 9" xfId="13484"/>
    <cellStyle name="Обычный 8 2 6_Расчет  30 млн_Технополис  Коренькова" xfId="13485"/>
    <cellStyle name="Обычный 8 2 7" xfId="13486"/>
    <cellStyle name="Обычный 8 2 7 2" xfId="13487"/>
    <cellStyle name="Обычный 8 2 7 2 2" xfId="13488"/>
    <cellStyle name="Обычный 8 2 7 2 2 2" xfId="13489"/>
    <cellStyle name="Обычный 8 2 7 2 2 3" xfId="13490"/>
    <cellStyle name="Обычный 8 2 7 2 3" xfId="13491"/>
    <cellStyle name="Обычный 8 2 7 2 4" xfId="13492"/>
    <cellStyle name="Обычный 8 2 7 3" xfId="13493"/>
    <cellStyle name="Обычный 8 2 7 3 2" xfId="13494"/>
    <cellStyle name="Обычный 8 2 7 3 3" xfId="13495"/>
    <cellStyle name="Обычный 8 2 7 4" xfId="13496"/>
    <cellStyle name="Обычный 8 2 7 5" xfId="13497"/>
    <cellStyle name="Обычный 8 2 8" xfId="13498"/>
    <cellStyle name="Обычный 8 2 8 2" xfId="13499"/>
    <cellStyle name="Обычный 8 2 8 2 2" xfId="13500"/>
    <cellStyle name="Обычный 8 2 8 2 2 2" xfId="13501"/>
    <cellStyle name="Обычный 8 2 8 2 2 3" xfId="13502"/>
    <cellStyle name="Обычный 8 2 8 2 3" xfId="13503"/>
    <cellStyle name="Обычный 8 2 8 2 4" xfId="13504"/>
    <cellStyle name="Обычный 8 2 8 3" xfId="13505"/>
    <cellStyle name="Обычный 8 2 8 3 2" xfId="13506"/>
    <cellStyle name="Обычный 8 2 8 3 3" xfId="13507"/>
    <cellStyle name="Обычный 8 2 8 4" xfId="13508"/>
    <cellStyle name="Обычный 8 2 8 5" xfId="13509"/>
    <cellStyle name="Обычный 8 2 9" xfId="13510"/>
    <cellStyle name="Обычный 8 2 9 2" xfId="13511"/>
    <cellStyle name="Обычный 8 2 9 2 2" xfId="13512"/>
    <cellStyle name="Обычный 8 2 9 2 2 2" xfId="13513"/>
    <cellStyle name="Обычный 8 2 9 2 2 3" xfId="13514"/>
    <cellStyle name="Обычный 8 2 9 2 3" xfId="13515"/>
    <cellStyle name="Обычный 8 2 9 2 4" xfId="13516"/>
    <cellStyle name="Обычный 8 2 9 3" xfId="13517"/>
    <cellStyle name="Обычный 8 2 9 3 2" xfId="13518"/>
    <cellStyle name="Обычный 8 2 9 3 3" xfId="13519"/>
    <cellStyle name="Обычный 8 2 9 4" xfId="13520"/>
    <cellStyle name="Обычный 8 2 9 5" xfId="13521"/>
    <cellStyle name="Обычный 8 2_1 ВАР. КП 1 293  +8пропорцЛара" xfId="13522"/>
    <cellStyle name="Обычный 8 3" xfId="13523"/>
    <cellStyle name="Обычный 8 3 10" xfId="13524"/>
    <cellStyle name="Обычный 8 3 10 2" xfId="13525"/>
    <cellStyle name="Обычный 8 3 10 2 2" xfId="13526"/>
    <cellStyle name="Обычный 8 3 10 2 3" xfId="13527"/>
    <cellStyle name="Обычный 8 3 10 3" xfId="13528"/>
    <cellStyle name="Обычный 8 3 10 4" xfId="13529"/>
    <cellStyle name="Обычный 8 3 11" xfId="13530"/>
    <cellStyle name="Обычный 8 3 11 2" xfId="13531"/>
    <cellStyle name="Обычный 8 3 11 3" xfId="13532"/>
    <cellStyle name="Обычный 8 3 12" xfId="13533"/>
    <cellStyle name="Обычный 8 3 13" xfId="13534"/>
    <cellStyle name="Обычный 8 3 2" xfId="13535"/>
    <cellStyle name="Обычный 8 3 2 10" xfId="13536"/>
    <cellStyle name="Обычный 8 3 2 2" xfId="13537"/>
    <cellStyle name="Обычный 8 3 2 2 2" xfId="13538"/>
    <cellStyle name="Обычный 8 3 2 2 2 2" xfId="13539"/>
    <cellStyle name="Обычный 8 3 2 2 2 2 2" xfId="13540"/>
    <cellStyle name="Обычный 8 3 2 2 2 2 3" xfId="13541"/>
    <cellStyle name="Обычный 8 3 2 2 2 3" xfId="13542"/>
    <cellStyle name="Обычный 8 3 2 2 2 4" xfId="13543"/>
    <cellStyle name="Обычный 8 3 2 2 3" xfId="13544"/>
    <cellStyle name="Обычный 8 3 2 2 3 2" xfId="13545"/>
    <cellStyle name="Обычный 8 3 2 2 3 3" xfId="13546"/>
    <cellStyle name="Обычный 8 3 2 2 4" xfId="13547"/>
    <cellStyle name="Обычный 8 3 2 2 5" xfId="13548"/>
    <cellStyle name="Обычный 8 3 2 3" xfId="13549"/>
    <cellStyle name="Обычный 8 3 2 3 2" xfId="13550"/>
    <cellStyle name="Обычный 8 3 2 3 2 2" xfId="13551"/>
    <cellStyle name="Обычный 8 3 2 3 2 2 2" xfId="13552"/>
    <cellStyle name="Обычный 8 3 2 3 2 2 3" xfId="13553"/>
    <cellStyle name="Обычный 8 3 2 3 2 3" xfId="13554"/>
    <cellStyle name="Обычный 8 3 2 3 2 4" xfId="13555"/>
    <cellStyle name="Обычный 8 3 2 3 3" xfId="13556"/>
    <cellStyle name="Обычный 8 3 2 3 3 2" xfId="13557"/>
    <cellStyle name="Обычный 8 3 2 3 3 3" xfId="13558"/>
    <cellStyle name="Обычный 8 3 2 3 4" xfId="13559"/>
    <cellStyle name="Обычный 8 3 2 3 5" xfId="13560"/>
    <cellStyle name="Обычный 8 3 2 4" xfId="13561"/>
    <cellStyle name="Обычный 8 3 2 4 2" xfId="13562"/>
    <cellStyle name="Обычный 8 3 2 4 2 2" xfId="13563"/>
    <cellStyle name="Обычный 8 3 2 4 2 2 2" xfId="13564"/>
    <cellStyle name="Обычный 8 3 2 4 2 2 3" xfId="13565"/>
    <cellStyle name="Обычный 8 3 2 4 2 3" xfId="13566"/>
    <cellStyle name="Обычный 8 3 2 4 2 4" xfId="13567"/>
    <cellStyle name="Обычный 8 3 2 4 3" xfId="13568"/>
    <cellStyle name="Обычный 8 3 2 4 3 2" xfId="13569"/>
    <cellStyle name="Обычный 8 3 2 4 3 3" xfId="13570"/>
    <cellStyle name="Обычный 8 3 2 4 4" xfId="13571"/>
    <cellStyle name="Обычный 8 3 2 4 5" xfId="13572"/>
    <cellStyle name="Обычный 8 3 2 5" xfId="13573"/>
    <cellStyle name="Обычный 8 3 2 5 2" xfId="13574"/>
    <cellStyle name="Обычный 8 3 2 5 2 2" xfId="13575"/>
    <cellStyle name="Обычный 8 3 2 5 2 2 2" xfId="13576"/>
    <cellStyle name="Обычный 8 3 2 5 2 2 3" xfId="13577"/>
    <cellStyle name="Обычный 8 3 2 5 2 3" xfId="13578"/>
    <cellStyle name="Обычный 8 3 2 5 2 4" xfId="13579"/>
    <cellStyle name="Обычный 8 3 2 5 3" xfId="13580"/>
    <cellStyle name="Обычный 8 3 2 5 3 2" xfId="13581"/>
    <cellStyle name="Обычный 8 3 2 5 3 3" xfId="13582"/>
    <cellStyle name="Обычный 8 3 2 5 4" xfId="13583"/>
    <cellStyle name="Обычный 8 3 2 5 5" xfId="13584"/>
    <cellStyle name="Обычный 8 3 2 6" xfId="13585"/>
    <cellStyle name="Обычный 8 3 2 6 2" xfId="13586"/>
    <cellStyle name="Обычный 8 3 2 6 2 2" xfId="13587"/>
    <cellStyle name="Обычный 8 3 2 6 2 2 2" xfId="13588"/>
    <cellStyle name="Обычный 8 3 2 6 2 2 3" xfId="13589"/>
    <cellStyle name="Обычный 8 3 2 6 2 3" xfId="13590"/>
    <cellStyle name="Обычный 8 3 2 6 2 4" xfId="13591"/>
    <cellStyle name="Обычный 8 3 2 6 3" xfId="13592"/>
    <cellStyle name="Обычный 8 3 2 6 3 2" xfId="13593"/>
    <cellStyle name="Обычный 8 3 2 6 3 3" xfId="13594"/>
    <cellStyle name="Обычный 8 3 2 6 4" xfId="13595"/>
    <cellStyle name="Обычный 8 3 2 6 5" xfId="13596"/>
    <cellStyle name="Обычный 8 3 2 7" xfId="13597"/>
    <cellStyle name="Обычный 8 3 2 7 2" xfId="13598"/>
    <cellStyle name="Обычный 8 3 2 7 2 2" xfId="13599"/>
    <cellStyle name="Обычный 8 3 2 7 2 3" xfId="13600"/>
    <cellStyle name="Обычный 8 3 2 7 3" xfId="13601"/>
    <cellStyle name="Обычный 8 3 2 7 4" xfId="13602"/>
    <cellStyle name="Обычный 8 3 2 8" xfId="13603"/>
    <cellStyle name="Обычный 8 3 2 8 2" xfId="13604"/>
    <cellStyle name="Обычный 8 3 2 8 3" xfId="13605"/>
    <cellStyle name="Обычный 8 3 2 9" xfId="13606"/>
    <cellStyle name="Обычный 8 3 2_Расчет  30 млн_Технополис  Коренькова" xfId="13607"/>
    <cellStyle name="Обычный 8 3 3" xfId="13608"/>
    <cellStyle name="Обычный 8 3 3 10" xfId="13609"/>
    <cellStyle name="Обычный 8 3 3 2" xfId="13610"/>
    <cellStyle name="Обычный 8 3 3 2 2" xfId="13611"/>
    <cellStyle name="Обычный 8 3 3 2 2 2" xfId="13612"/>
    <cellStyle name="Обычный 8 3 3 2 2 2 2" xfId="13613"/>
    <cellStyle name="Обычный 8 3 3 2 2 2 3" xfId="13614"/>
    <cellStyle name="Обычный 8 3 3 2 2 3" xfId="13615"/>
    <cellStyle name="Обычный 8 3 3 2 2 4" xfId="13616"/>
    <cellStyle name="Обычный 8 3 3 2 3" xfId="13617"/>
    <cellStyle name="Обычный 8 3 3 2 3 2" xfId="13618"/>
    <cellStyle name="Обычный 8 3 3 2 3 3" xfId="13619"/>
    <cellStyle name="Обычный 8 3 3 2 4" xfId="13620"/>
    <cellStyle name="Обычный 8 3 3 2 5" xfId="13621"/>
    <cellStyle name="Обычный 8 3 3 3" xfId="13622"/>
    <cellStyle name="Обычный 8 3 3 3 2" xfId="13623"/>
    <cellStyle name="Обычный 8 3 3 3 2 2" xfId="13624"/>
    <cellStyle name="Обычный 8 3 3 3 2 2 2" xfId="13625"/>
    <cellStyle name="Обычный 8 3 3 3 2 2 3" xfId="13626"/>
    <cellStyle name="Обычный 8 3 3 3 2 3" xfId="13627"/>
    <cellStyle name="Обычный 8 3 3 3 2 4" xfId="13628"/>
    <cellStyle name="Обычный 8 3 3 3 3" xfId="13629"/>
    <cellStyle name="Обычный 8 3 3 3 3 2" xfId="13630"/>
    <cellStyle name="Обычный 8 3 3 3 3 3" xfId="13631"/>
    <cellStyle name="Обычный 8 3 3 3 4" xfId="13632"/>
    <cellStyle name="Обычный 8 3 3 3 5" xfId="13633"/>
    <cellStyle name="Обычный 8 3 3 4" xfId="13634"/>
    <cellStyle name="Обычный 8 3 3 4 2" xfId="13635"/>
    <cellStyle name="Обычный 8 3 3 4 2 2" xfId="13636"/>
    <cellStyle name="Обычный 8 3 3 4 2 2 2" xfId="13637"/>
    <cellStyle name="Обычный 8 3 3 4 2 2 3" xfId="13638"/>
    <cellStyle name="Обычный 8 3 3 4 2 3" xfId="13639"/>
    <cellStyle name="Обычный 8 3 3 4 2 4" xfId="13640"/>
    <cellStyle name="Обычный 8 3 3 4 3" xfId="13641"/>
    <cellStyle name="Обычный 8 3 3 4 3 2" xfId="13642"/>
    <cellStyle name="Обычный 8 3 3 4 3 3" xfId="13643"/>
    <cellStyle name="Обычный 8 3 3 4 4" xfId="13644"/>
    <cellStyle name="Обычный 8 3 3 4 5" xfId="13645"/>
    <cellStyle name="Обычный 8 3 3 5" xfId="13646"/>
    <cellStyle name="Обычный 8 3 3 5 2" xfId="13647"/>
    <cellStyle name="Обычный 8 3 3 5 2 2" xfId="13648"/>
    <cellStyle name="Обычный 8 3 3 5 2 2 2" xfId="13649"/>
    <cellStyle name="Обычный 8 3 3 5 2 2 3" xfId="13650"/>
    <cellStyle name="Обычный 8 3 3 5 2 3" xfId="13651"/>
    <cellStyle name="Обычный 8 3 3 5 2 4" xfId="13652"/>
    <cellStyle name="Обычный 8 3 3 5 3" xfId="13653"/>
    <cellStyle name="Обычный 8 3 3 5 3 2" xfId="13654"/>
    <cellStyle name="Обычный 8 3 3 5 3 3" xfId="13655"/>
    <cellStyle name="Обычный 8 3 3 5 4" xfId="13656"/>
    <cellStyle name="Обычный 8 3 3 5 5" xfId="13657"/>
    <cellStyle name="Обычный 8 3 3 6" xfId="13658"/>
    <cellStyle name="Обычный 8 3 3 6 2" xfId="13659"/>
    <cellStyle name="Обычный 8 3 3 6 2 2" xfId="13660"/>
    <cellStyle name="Обычный 8 3 3 6 2 2 2" xfId="13661"/>
    <cellStyle name="Обычный 8 3 3 6 2 2 3" xfId="13662"/>
    <cellStyle name="Обычный 8 3 3 6 2 3" xfId="13663"/>
    <cellStyle name="Обычный 8 3 3 6 2 4" xfId="13664"/>
    <cellStyle name="Обычный 8 3 3 6 3" xfId="13665"/>
    <cellStyle name="Обычный 8 3 3 6 3 2" xfId="13666"/>
    <cellStyle name="Обычный 8 3 3 6 3 3" xfId="13667"/>
    <cellStyle name="Обычный 8 3 3 6 4" xfId="13668"/>
    <cellStyle name="Обычный 8 3 3 6 5" xfId="13669"/>
    <cellStyle name="Обычный 8 3 3 7" xfId="13670"/>
    <cellStyle name="Обычный 8 3 3 7 2" xfId="13671"/>
    <cellStyle name="Обычный 8 3 3 7 2 2" xfId="13672"/>
    <cellStyle name="Обычный 8 3 3 7 2 3" xfId="13673"/>
    <cellStyle name="Обычный 8 3 3 7 3" xfId="13674"/>
    <cellStyle name="Обычный 8 3 3 7 4" xfId="13675"/>
    <cellStyle name="Обычный 8 3 3 8" xfId="13676"/>
    <cellStyle name="Обычный 8 3 3 8 2" xfId="13677"/>
    <cellStyle name="Обычный 8 3 3 8 3" xfId="13678"/>
    <cellStyle name="Обычный 8 3 3 9" xfId="13679"/>
    <cellStyle name="Обычный 8 3 3_Расчет  30 млн_Технополис  Коренькова" xfId="13680"/>
    <cellStyle name="Обычный 8 3 4" xfId="13681"/>
    <cellStyle name="Обычный 8 3 4 10" xfId="13682"/>
    <cellStyle name="Обычный 8 3 4 2" xfId="13683"/>
    <cellStyle name="Обычный 8 3 4 2 2" xfId="13684"/>
    <cellStyle name="Обычный 8 3 4 2 2 2" xfId="13685"/>
    <cellStyle name="Обычный 8 3 4 2 3" xfId="13686"/>
    <cellStyle name="Обычный 8 3 4 3" xfId="13687"/>
    <cellStyle name="Обычный 8 3 4 3 2" xfId="13688"/>
    <cellStyle name="Обычный 8 3 4 3 2 2" xfId="13689"/>
    <cellStyle name="Обычный 8 3 4 3 2 2 2" xfId="13690"/>
    <cellStyle name="Обычный 8 3 4 3 2 2 3" xfId="13691"/>
    <cellStyle name="Обычный 8 3 4 3 2 3" xfId="13692"/>
    <cellStyle name="Обычный 8 3 4 3 2 4" xfId="13693"/>
    <cellStyle name="Обычный 8 3 4 3 3" xfId="13694"/>
    <cellStyle name="Обычный 8 3 4 3 3 2" xfId="13695"/>
    <cellStyle name="Обычный 8 3 4 3 3 3" xfId="13696"/>
    <cellStyle name="Обычный 8 3 4 3 4" xfId="13697"/>
    <cellStyle name="Обычный 8 3 4 3 5" xfId="13698"/>
    <cellStyle name="Обычный 8 3 4 4" xfId="13699"/>
    <cellStyle name="Обычный 8 3 4 4 2" xfId="13700"/>
    <cellStyle name="Обычный 8 3 4 4 2 2" xfId="13701"/>
    <cellStyle name="Обычный 8 3 4 4 2 2 2" xfId="13702"/>
    <cellStyle name="Обычный 8 3 4 4 2 2 3" xfId="13703"/>
    <cellStyle name="Обычный 8 3 4 4 2 3" xfId="13704"/>
    <cellStyle name="Обычный 8 3 4 4 2 4" xfId="13705"/>
    <cellStyle name="Обычный 8 3 4 4 3" xfId="13706"/>
    <cellStyle name="Обычный 8 3 4 4 3 2" xfId="13707"/>
    <cellStyle name="Обычный 8 3 4 4 3 3" xfId="13708"/>
    <cellStyle name="Обычный 8 3 4 4 4" xfId="13709"/>
    <cellStyle name="Обычный 8 3 4 4 5" xfId="13710"/>
    <cellStyle name="Обычный 8 3 4 5" xfId="13711"/>
    <cellStyle name="Обычный 8 3 4 5 2" xfId="13712"/>
    <cellStyle name="Обычный 8 3 4 5 2 2" xfId="13713"/>
    <cellStyle name="Обычный 8 3 4 5 2 2 2" xfId="13714"/>
    <cellStyle name="Обычный 8 3 4 5 2 2 3" xfId="13715"/>
    <cellStyle name="Обычный 8 3 4 5 2 3" xfId="13716"/>
    <cellStyle name="Обычный 8 3 4 5 2 4" xfId="13717"/>
    <cellStyle name="Обычный 8 3 4 5 3" xfId="13718"/>
    <cellStyle name="Обычный 8 3 4 5 3 2" xfId="13719"/>
    <cellStyle name="Обычный 8 3 4 5 3 3" xfId="13720"/>
    <cellStyle name="Обычный 8 3 4 5 4" xfId="13721"/>
    <cellStyle name="Обычный 8 3 4 5 5" xfId="13722"/>
    <cellStyle name="Обычный 8 3 4 6" xfId="13723"/>
    <cellStyle name="Обычный 8 3 4 6 2" xfId="13724"/>
    <cellStyle name="Обычный 8 3 4 6 2 2" xfId="13725"/>
    <cellStyle name="Обычный 8 3 4 6 2 2 2" xfId="13726"/>
    <cellStyle name="Обычный 8 3 4 6 2 2 3" xfId="13727"/>
    <cellStyle name="Обычный 8 3 4 6 2 3" xfId="13728"/>
    <cellStyle name="Обычный 8 3 4 6 2 4" xfId="13729"/>
    <cellStyle name="Обычный 8 3 4 6 3" xfId="13730"/>
    <cellStyle name="Обычный 8 3 4 6 3 2" xfId="13731"/>
    <cellStyle name="Обычный 8 3 4 6 3 3" xfId="13732"/>
    <cellStyle name="Обычный 8 3 4 6 4" xfId="13733"/>
    <cellStyle name="Обычный 8 3 4 6 5" xfId="13734"/>
    <cellStyle name="Обычный 8 3 4 7" xfId="13735"/>
    <cellStyle name="Обычный 8 3 4 7 2" xfId="13736"/>
    <cellStyle name="Обычный 8 3 4 7 2 2" xfId="13737"/>
    <cellStyle name="Обычный 8 3 4 7 2 3" xfId="13738"/>
    <cellStyle name="Обычный 8 3 4 7 3" xfId="13739"/>
    <cellStyle name="Обычный 8 3 4 7 4" xfId="13740"/>
    <cellStyle name="Обычный 8 3 4 8" xfId="13741"/>
    <cellStyle name="Обычный 8 3 4 8 2" xfId="13742"/>
    <cellStyle name="Обычный 8 3 4 8 3" xfId="13743"/>
    <cellStyle name="Обычный 8 3 4 9" xfId="13744"/>
    <cellStyle name="Обычный 8 3 4_Расчет  30 млн_Технополис  Коренькова" xfId="13745"/>
    <cellStyle name="Обычный 8 3 5" xfId="13746"/>
    <cellStyle name="Обычный 8 3 5 2" xfId="13747"/>
    <cellStyle name="Обычный 8 3 5 2 2" xfId="13748"/>
    <cellStyle name="Обычный 8 3 5 2 2 2" xfId="13749"/>
    <cellStyle name="Обычный 8 3 5 2 2 3" xfId="13750"/>
    <cellStyle name="Обычный 8 3 5 2 3" xfId="13751"/>
    <cellStyle name="Обычный 8 3 5 2 4" xfId="13752"/>
    <cellStyle name="Обычный 8 3 5 3" xfId="13753"/>
    <cellStyle name="Обычный 8 3 5 3 2" xfId="13754"/>
    <cellStyle name="Обычный 8 3 5 3 3" xfId="13755"/>
    <cellStyle name="Обычный 8 3 5 4" xfId="13756"/>
    <cellStyle name="Обычный 8 3 5 5" xfId="13757"/>
    <cellStyle name="Обычный 8 3 6" xfId="13758"/>
    <cellStyle name="Обычный 8 3 6 2" xfId="13759"/>
    <cellStyle name="Обычный 8 3 6 2 2" xfId="13760"/>
    <cellStyle name="Обычный 8 3 6 2 2 2" xfId="13761"/>
    <cellStyle name="Обычный 8 3 6 2 2 3" xfId="13762"/>
    <cellStyle name="Обычный 8 3 6 2 3" xfId="13763"/>
    <cellStyle name="Обычный 8 3 6 2 4" xfId="13764"/>
    <cellStyle name="Обычный 8 3 6 3" xfId="13765"/>
    <cellStyle name="Обычный 8 3 6 3 2" xfId="13766"/>
    <cellStyle name="Обычный 8 3 6 3 3" xfId="13767"/>
    <cellStyle name="Обычный 8 3 6 4" xfId="13768"/>
    <cellStyle name="Обычный 8 3 6 5" xfId="13769"/>
    <cellStyle name="Обычный 8 3 7" xfId="13770"/>
    <cellStyle name="Обычный 8 3 7 2" xfId="13771"/>
    <cellStyle name="Обычный 8 3 7 2 2" xfId="13772"/>
    <cellStyle name="Обычный 8 3 7 2 2 2" xfId="13773"/>
    <cellStyle name="Обычный 8 3 7 2 2 3" xfId="13774"/>
    <cellStyle name="Обычный 8 3 7 2 3" xfId="13775"/>
    <cellStyle name="Обычный 8 3 7 2 4" xfId="13776"/>
    <cellStyle name="Обычный 8 3 7 3" xfId="13777"/>
    <cellStyle name="Обычный 8 3 7 3 2" xfId="13778"/>
    <cellStyle name="Обычный 8 3 7 3 3" xfId="13779"/>
    <cellStyle name="Обычный 8 3 7 4" xfId="13780"/>
    <cellStyle name="Обычный 8 3 7 5" xfId="13781"/>
    <cellStyle name="Обычный 8 3 8" xfId="13782"/>
    <cellStyle name="Обычный 8 3 8 2" xfId="13783"/>
    <cellStyle name="Обычный 8 3 8 2 2" xfId="13784"/>
    <cellStyle name="Обычный 8 3 8 2 2 2" xfId="13785"/>
    <cellStyle name="Обычный 8 3 8 2 2 3" xfId="13786"/>
    <cellStyle name="Обычный 8 3 8 2 3" xfId="13787"/>
    <cellStyle name="Обычный 8 3 8 2 4" xfId="13788"/>
    <cellStyle name="Обычный 8 3 8 3" xfId="13789"/>
    <cellStyle name="Обычный 8 3 8 3 2" xfId="13790"/>
    <cellStyle name="Обычный 8 3 8 3 3" xfId="13791"/>
    <cellStyle name="Обычный 8 3 8 4" xfId="13792"/>
    <cellStyle name="Обычный 8 3 8 5" xfId="13793"/>
    <cellStyle name="Обычный 8 3 9" xfId="13794"/>
    <cellStyle name="Обычный 8 3 9 2" xfId="13795"/>
    <cellStyle name="Обычный 8 3 9 2 2" xfId="13796"/>
    <cellStyle name="Обычный 8 3 9 2 2 2" xfId="13797"/>
    <cellStyle name="Обычный 8 3 9 2 2 3" xfId="13798"/>
    <cellStyle name="Обычный 8 3 9 2 3" xfId="13799"/>
    <cellStyle name="Обычный 8 3 9 2 4" xfId="13800"/>
    <cellStyle name="Обычный 8 3 9 3" xfId="13801"/>
    <cellStyle name="Обычный 8 3 9 3 2" xfId="13802"/>
    <cellStyle name="Обычный 8 3 9 3 3" xfId="13803"/>
    <cellStyle name="Обычный 8 3 9 4" xfId="13804"/>
    <cellStyle name="Обычный 8 3 9 5" xfId="13805"/>
    <cellStyle name="Обычный 8 3_1 ВАР. КП 1 293  +8пропорцЛара" xfId="13806"/>
    <cellStyle name="Обычный 8 4" xfId="13807"/>
    <cellStyle name="Обычный 8 5" xfId="13808"/>
    <cellStyle name="Обычный 8 5 10" xfId="13809"/>
    <cellStyle name="Обычный 8 5 2" xfId="13810"/>
    <cellStyle name="Обычный 8 5 2 2" xfId="13811"/>
    <cellStyle name="Обычный 8 5 2 2 2" xfId="13812"/>
    <cellStyle name="Обычный 8 5 2 2 2 2" xfId="13813"/>
    <cellStyle name="Обычный 8 5 2 2 2 3" xfId="13814"/>
    <cellStyle name="Обычный 8 5 2 2 3" xfId="13815"/>
    <cellStyle name="Обычный 8 5 2 2 4" xfId="13816"/>
    <cellStyle name="Обычный 8 5 2 3" xfId="13817"/>
    <cellStyle name="Обычный 8 5 2 3 2" xfId="13818"/>
    <cellStyle name="Обычный 8 5 2 3 3" xfId="13819"/>
    <cellStyle name="Обычный 8 5 2 4" xfId="13820"/>
    <cellStyle name="Обычный 8 5 2 5" xfId="13821"/>
    <cellStyle name="Обычный 8 5 3" xfId="13822"/>
    <cellStyle name="Обычный 8 5 3 2" xfId="13823"/>
    <cellStyle name="Обычный 8 5 3 2 2" xfId="13824"/>
    <cellStyle name="Обычный 8 5 3 2 2 2" xfId="13825"/>
    <cellStyle name="Обычный 8 5 3 2 2 3" xfId="13826"/>
    <cellStyle name="Обычный 8 5 3 2 3" xfId="13827"/>
    <cellStyle name="Обычный 8 5 3 2 4" xfId="13828"/>
    <cellStyle name="Обычный 8 5 3 3" xfId="13829"/>
    <cellStyle name="Обычный 8 5 3 3 2" xfId="13830"/>
    <cellStyle name="Обычный 8 5 3 3 3" xfId="13831"/>
    <cellStyle name="Обычный 8 5 3 4" xfId="13832"/>
    <cellStyle name="Обычный 8 5 3 5" xfId="13833"/>
    <cellStyle name="Обычный 8 5 4" xfId="13834"/>
    <cellStyle name="Обычный 8 5 4 2" xfId="13835"/>
    <cellStyle name="Обычный 8 5 4 2 2" xfId="13836"/>
    <cellStyle name="Обычный 8 5 4 2 2 2" xfId="13837"/>
    <cellStyle name="Обычный 8 5 4 2 2 3" xfId="13838"/>
    <cellStyle name="Обычный 8 5 4 2 3" xfId="13839"/>
    <cellStyle name="Обычный 8 5 4 2 4" xfId="13840"/>
    <cellStyle name="Обычный 8 5 4 3" xfId="13841"/>
    <cellStyle name="Обычный 8 5 4 3 2" xfId="13842"/>
    <cellStyle name="Обычный 8 5 4 3 3" xfId="13843"/>
    <cellStyle name="Обычный 8 5 4 4" xfId="13844"/>
    <cellStyle name="Обычный 8 5 4 5" xfId="13845"/>
    <cellStyle name="Обычный 8 5 5" xfId="13846"/>
    <cellStyle name="Обычный 8 5 5 2" xfId="13847"/>
    <cellStyle name="Обычный 8 5 5 2 2" xfId="13848"/>
    <cellStyle name="Обычный 8 5 5 2 2 2" xfId="13849"/>
    <cellStyle name="Обычный 8 5 5 2 2 3" xfId="13850"/>
    <cellStyle name="Обычный 8 5 5 2 3" xfId="13851"/>
    <cellStyle name="Обычный 8 5 5 2 4" xfId="13852"/>
    <cellStyle name="Обычный 8 5 5 3" xfId="13853"/>
    <cellStyle name="Обычный 8 5 5 3 2" xfId="13854"/>
    <cellStyle name="Обычный 8 5 5 3 3" xfId="13855"/>
    <cellStyle name="Обычный 8 5 5 4" xfId="13856"/>
    <cellStyle name="Обычный 8 5 5 5" xfId="13857"/>
    <cellStyle name="Обычный 8 5 6" xfId="13858"/>
    <cellStyle name="Обычный 8 5 6 2" xfId="13859"/>
    <cellStyle name="Обычный 8 5 6 2 2" xfId="13860"/>
    <cellStyle name="Обычный 8 5 6 2 2 2" xfId="13861"/>
    <cellStyle name="Обычный 8 5 6 2 2 3" xfId="13862"/>
    <cellStyle name="Обычный 8 5 6 2 3" xfId="13863"/>
    <cellStyle name="Обычный 8 5 6 2 4" xfId="13864"/>
    <cellStyle name="Обычный 8 5 6 3" xfId="13865"/>
    <cellStyle name="Обычный 8 5 6 3 2" xfId="13866"/>
    <cellStyle name="Обычный 8 5 6 3 3" xfId="13867"/>
    <cellStyle name="Обычный 8 5 6 4" xfId="13868"/>
    <cellStyle name="Обычный 8 5 6 5" xfId="13869"/>
    <cellStyle name="Обычный 8 5 7" xfId="13870"/>
    <cellStyle name="Обычный 8 5 7 2" xfId="13871"/>
    <cellStyle name="Обычный 8 5 7 2 2" xfId="13872"/>
    <cellStyle name="Обычный 8 5 7 2 3" xfId="13873"/>
    <cellStyle name="Обычный 8 5 7 3" xfId="13874"/>
    <cellStyle name="Обычный 8 5 7 4" xfId="13875"/>
    <cellStyle name="Обычный 8 5 8" xfId="13876"/>
    <cellStyle name="Обычный 8 5 8 2" xfId="13877"/>
    <cellStyle name="Обычный 8 5 8 3" xfId="13878"/>
    <cellStyle name="Обычный 8 5 9" xfId="13879"/>
    <cellStyle name="Обычный 8 5_Расчет  30 млн_Технополис  Коренькова" xfId="13880"/>
    <cellStyle name="Обычный 8 6" xfId="13881"/>
    <cellStyle name="Обычный 8 6 10" xfId="13882"/>
    <cellStyle name="Обычный 8 6 2" xfId="13883"/>
    <cellStyle name="Обычный 8 6 2 2" xfId="13884"/>
    <cellStyle name="Обычный 8 6 2 2 2" xfId="13885"/>
    <cellStyle name="Обычный 8 6 2 2 2 2" xfId="13886"/>
    <cellStyle name="Обычный 8 6 2 2 2 3" xfId="13887"/>
    <cellStyle name="Обычный 8 6 2 2 3" xfId="13888"/>
    <cellStyle name="Обычный 8 6 2 2 4" xfId="13889"/>
    <cellStyle name="Обычный 8 6 2 3" xfId="13890"/>
    <cellStyle name="Обычный 8 6 2 3 2" xfId="13891"/>
    <cellStyle name="Обычный 8 6 2 3 3" xfId="13892"/>
    <cellStyle name="Обычный 8 6 2 4" xfId="13893"/>
    <cellStyle name="Обычный 8 6 2 5" xfId="13894"/>
    <cellStyle name="Обычный 8 6 3" xfId="13895"/>
    <cellStyle name="Обычный 8 6 3 2" xfId="13896"/>
    <cellStyle name="Обычный 8 6 3 2 2" xfId="13897"/>
    <cellStyle name="Обычный 8 6 3 2 2 2" xfId="13898"/>
    <cellStyle name="Обычный 8 6 3 2 2 3" xfId="13899"/>
    <cellStyle name="Обычный 8 6 3 2 3" xfId="13900"/>
    <cellStyle name="Обычный 8 6 3 2 4" xfId="13901"/>
    <cellStyle name="Обычный 8 6 3 3" xfId="13902"/>
    <cellStyle name="Обычный 8 6 3 3 2" xfId="13903"/>
    <cellStyle name="Обычный 8 6 3 3 3" xfId="13904"/>
    <cellStyle name="Обычный 8 6 3 4" xfId="13905"/>
    <cellStyle name="Обычный 8 6 3 5" xfId="13906"/>
    <cellStyle name="Обычный 8 6 4" xfId="13907"/>
    <cellStyle name="Обычный 8 6 4 2" xfId="13908"/>
    <cellStyle name="Обычный 8 6 4 2 2" xfId="13909"/>
    <cellStyle name="Обычный 8 6 4 2 2 2" xfId="13910"/>
    <cellStyle name="Обычный 8 6 4 2 2 3" xfId="13911"/>
    <cellStyle name="Обычный 8 6 4 2 3" xfId="13912"/>
    <cellStyle name="Обычный 8 6 4 2 4" xfId="13913"/>
    <cellStyle name="Обычный 8 6 4 3" xfId="13914"/>
    <cellStyle name="Обычный 8 6 4 3 2" xfId="13915"/>
    <cellStyle name="Обычный 8 6 4 3 3" xfId="13916"/>
    <cellStyle name="Обычный 8 6 4 4" xfId="13917"/>
    <cellStyle name="Обычный 8 6 4 5" xfId="13918"/>
    <cellStyle name="Обычный 8 6 5" xfId="13919"/>
    <cellStyle name="Обычный 8 6 5 2" xfId="13920"/>
    <cellStyle name="Обычный 8 6 5 2 2" xfId="13921"/>
    <cellStyle name="Обычный 8 6 5 2 2 2" xfId="13922"/>
    <cellStyle name="Обычный 8 6 5 2 2 3" xfId="13923"/>
    <cellStyle name="Обычный 8 6 5 2 3" xfId="13924"/>
    <cellStyle name="Обычный 8 6 5 2 4" xfId="13925"/>
    <cellStyle name="Обычный 8 6 5 3" xfId="13926"/>
    <cellStyle name="Обычный 8 6 5 3 2" xfId="13927"/>
    <cellStyle name="Обычный 8 6 5 3 3" xfId="13928"/>
    <cellStyle name="Обычный 8 6 5 4" xfId="13929"/>
    <cellStyle name="Обычный 8 6 5 5" xfId="13930"/>
    <cellStyle name="Обычный 8 6 6" xfId="13931"/>
    <cellStyle name="Обычный 8 6 6 2" xfId="13932"/>
    <cellStyle name="Обычный 8 6 6 2 2" xfId="13933"/>
    <cellStyle name="Обычный 8 6 6 2 2 2" xfId="13934"/>
    <cellStyle name="Обычный 8 6 6 2 2 3" xfId="13935"/>
    <cellStyle name="Обычный 8 6 6 2 3" xfId="13936"/>
    <cellStyle name="Обычный 8 6 6 2 4" xfId="13937"/>
    <cellStyle name="Обычный 8 6 6 3" xfId="13938"/>
    <cellStyle name="Обычный 8 6 6 3 2" xfId="13939"/>
    <cellStyle name="Обычный 8 6 6 3 3" xfId="13940"/>
    <cellStyle name="Обычный 8 6 6 4" xfId="13941"/>
    <cellStyle name="Обычный 8 6 6 5" xfId="13942"/>
    <cellStyle name="Обычный 8 6 7" xfId="13943"/>
    <cellStyle name="Обычный 8 6 7 2" xfId="13944"/>
    <cellStyle name="Обычный 8 6 7 2 2" xfId="13945"/>
    <cellStyle name="Обычный 8 6 7 2 3" xfId="13946"/>
    <cellStyle name="Обычный 8 6 7 3" xfId="13947"/>
    <cellStyle name="Обычный 8 6 7 4" xfId="13948"/>
    <cellStyle name="Обычный 8 6 8" xfId="13949"/>
    <cellStyle name="Обычный 8 6 8 2" xfId="13950"/>
    <cellStyle name="Обычный 8 6 8 3" xfId="13951"/>
    <cellStyle name="Обычный 8 6 9" xfId="13952"/>
    <cellStyle name="Обычный 8 6_Расчет  30 млн_Технополис  Коренькова" xfId="13953"/>
    <cellStyle name="Обычный 8 7" xfId="13954"/>
    <cellStyle name="Обычный 8 7 10" xfId="13955"/>
    <cellStyle name="Обычный 8 7 2" xfId="13956"/>
    <cellStyle name="Обычный 8 7 2 2" xfId="13957"/>
    <cellStyle name="Обычный 8 7 2 2 2" xfId="13958"/>
    <cellStyle name="Обычный 8 7 2 2 2 2" xfId="13959"/>
    <cellStyle name="Обычный 8 7 2 2 2 3" xfId="13960"/>
    <cellStyle name="Обычный 8 7 2 2 3" xfId="13961"/>
    <cellStyle name="Обычный 8 7 2 2 4" xfId="13962"/>
    <cellStyle name="Обычный 8 7 2 3" xfId="13963"/>
    <cellStyle name="Обычный 8 7 2 3 2" xfId="13964"/>
    <cellStyle name="Обычный 8 7 2 3 3" xfId="13965"/>
    <cellStyle name="Обычный 8 7 2 4" xfId="13966"/>
    <cellStyle name="Обычный 8 7 2 5" xfId="13967"/>
    <cellStyle name="Обычный 8 7 3" xfId="13968"/>
    <cellStyle name="Обычный 8 7 3 2" xfId="13969"/>
    <cellStyle name="Обычный 8 7 3 2 2" xfId="13970"/>
    <cellStyle name="Обычный 8 7 3 2 2 2" xfId="13971"/>
    <cellStyle name="Обычный 8 7 3 2 2 3" xfId="13972"/>
    <cellStyle name="Обычный 8 7 3 2 3" xfId="13973"/>
    <cellStyle name="Обычный 8 7 3 2 4" xfId="13974"/>
    <cellStyle name="Обычный 8 7 3 3" xfId="13975"/>
    <cellStyle name="Обычный 8 7 3 3 2" xfId="13976"/>
    <cellStyle name="Обычный 8 7 3 3 3" xfId="13977"/>
    <cellStyle name="Обычный 8 7 3 4" xfId="13978"/>
    <cellStyle name="Обычный 8 7 3 5" xfId="13979"/>
    <cellStyle name="Обычный 8 7 4" xfId="13980"/>
    <cellStyle name="Обычный 8 7 4 2" xfId="13981"/>
    <cellStyle name="Обычный 8 7 4 2 2" xfId="13982"/>
    <cellStyle name="Обычный 8 7 4 2 2 2" xfId="13983"/>
    <cellStyle name="Обычный 8 7 4 2 2 3" xfId="13984"/>
    <cellStyle name="Обычный 8 7 4 2 3" xfId="13985"/>
    <cellStyle name="Обычный 8 7 4 2 4" xfId="13986"/>
    <cellStyle name="Обычный 8 7 4 3" xfId="13987"/>
    <cellStyle name="Обычный 8 7 4 3 2" xfId="13988"/>
    <cellStyle name="Обычный 8 7 4 3 3" xfId="13989"/>
    <cellStyle name="Обычный 8 7 4 4" xfId="13990"/>
    <cellStyle name="Обычный 8 7 4 5" xfId="13991"/>
    <cellStyle name="Обычный 8 7 5" xfId="13992"/>
    <cellStyle name="Обычный 8 7 5 2" xfId="13993"/>
    <cellStyle name="Обычный 8 7 5 2 2" xfId="13994"/>
    <cellStyle name="Обычный 8 7 5 2 2 2" xfId="13995"/>
    <cellStyle name="Обычный 8 7 5 2 2 3" xfId="13996"/>
    <cellStyle name="Обычный 8 7 5 2 3" xfId="13997"/>
    <cellStyle name="Обычный 8 7 5 2 4" xfId="13998"/>
    <cellStyle name="Обычный 8 7 5 3" xfId="13999"/>
    <cellStyle name="Обычный 8 7 5 3 2" xfId="14000"/>
    <cellStyle name="Обычный 8 7 5 3 3" xfId="14001"/>
    <cellStyle name="Обычный 8 7 5 4" xfId="14002"/>
    <cellStyle name="Обычный 8 7 5 5" xfId="14003"/>
    <cellStyle name="Обычный 8 7 6" xfId="14004"/>
    <cellStyle name="Обычный 8 7 6 2" xfId="14005"/>
    <cellStyle name="Обычный 8 7 6 2 2" xfId="14006"/>
    <cellStyle name="Обычный 8 7 6 2 2 2" xfId="14007"/>
    <cellStyle name="Обычный 8 7 6 2 2 3" xfId="14008"/>
    <cellStyle name="Обычный 8 7 6 2 3" xfId="14009"/>
    <cellStyle name="Обычный 8 7 6 2 4" xfId="14010"/>
    <cellStyle name="Обычный 8 7 6 3" xfId="14011"/>
    <cellStyle name="Обычный 8 7 6 3 2" xfId="14012"/>
    <cellStyle name="Обычный 8 7 6 3 3" xfId="14013"/>
    <cellStyle name="Обычный 8 7 6 4" xfId="14014"/>
    <cellStyle name="Обычный 8 7 6 5" xfId="14015"/>
    <cellStyle name="Обычный 8 7 7" xfId="14016"/>
    <cellStyle name="Обычный 8 7 7 2" xfId="14017"/>
    <cellStyle name="Обычный 8 7 7 2 2" xfId="14018"/>
    <cellStyle name="Обычный 8 7 7 2 3" xfId="14019"/>
    <cellStyle name="Обычный 8 7 7 3" xfId="14020"/>
    <cellStyle name="Обычный 8 7 7 4" xfId="14021"/>
    <cellStyle name="Обычный 8 7 8" xfId="14022"/>
    <cellStyle name="Обычный 8 7 8 2" xfId="14023"/>
    <cellStyle name="Обычный 8 7 8 3" xfId="14024"/>
    <cellStyle name="Обычный 8 7 9" xfId="14025"/>
    <cellStyle name="Обычный 8 7_Расчет  30 млн_Технополис  Коренькова" xfId="14026"/>
    <cellStyle name="Обычный 8 8" xfId="14027"/>
    <cellStyle name="Обычный 8 8 10" xfId="14028"/>
    <cellStyle name="Обычный 8 8 2" xfId="14029"/>
    <cellStyle name="Обычный 8 8 2 2" xfId="14030"/>
    <cellStyle name="Обычный 8 8 2 2 2" xfId="14031"/>
    <cellStyle name="Обычный 8 8 2 2 2 2" xfId="14032"/>
    <cellStyle name="Обычный 8 8 2 2 2 3" xfId="14033"/>
    <cellStyle name="Обычный 8 8 2 2 3" xfId="14034"/>
    <cellStyle name="Обычный 8 8 2 2 4" xfId="14035"/>
    <cellStyle name="Обычный 8 8 2 3" xfId="14036"/>
    <cellStyle name="Обычный 8 8 2 3 2" xfId="14037"/>
    <cellStyle name="Обычный 8 8 2 3 3" xfId="14038"/>
    <cellStyle name="Обычный 8 8 2 4" xfId="14039"/>
    <cellStyle name="Обычный 8 8 2 5" xfId="14040"/>
    <cellStyle name="Обычный 8 8 3" xfId="14041"/>
    <cellStyle name="Обычный 8 8 3 2" xfId="14042"/>
    <cellStyle name="Обычный 8 8 3 2 2" xfId="14043"/>
    <cellStyle name="Обычный 8 8 3 2 2 2" xfId="14044"/>
    <cellStyle name="Обычный 8 8 3 2 2 3" xfId="14045"/>
    <cellStyle name="Обычный 8 8 3 2 3" xfId="14046"/>
    <cellStyle name="Обычный 8 8 3 2 4" xfId="14047"/>
    <cellStyle name="Обычный 8 8 3 3" xfId="14048"/>
    <cellStyle name="Обычный 8 8 3 3 2" xfId="14049"/>
    <cellStyle name="Обычный 8 8 3 3 3" xfId="14050"/>
    <cellStyle name="Обычный 8 8 3 4" xfId="14051"/>
    <cellStyle name="Обычный 8 8 3 5" xfId="14052"/>
    <cellStyle name="Обычный 8 8 4" xfId="14053"/>
    <cellStyle name="Обычный 8 8 4 2" xfId="14054"/>
    <cellStyle name="Обычный 8 8 4 2 2" xfId="14055"/>
    <cellStyle name="Обычный 8 8 4 2 2 2" xfId="14056"/>
    <cellStyle name="Обычный 8 8 4 2 2 3" xfId="14057"/>
    <cellStyle name="Обычный 8 8 4 2 3" xfId="14058"/>
    <cellStyle name="Обычный 8 8 4 2 4" xfId="14059"/>
    <cellStyle name="Обычный 8 8 4 3" xfId="14060"/>
    <cellStyle name="Обычный 8 8 4 3 2" xfId="14061"/>
    <cellStyle name="Обычный 8 8 4 3 3" xfId="14062"/>
    <cellStyle name="Обычный 8 8 4 4" xfId="14063"/>
    <cellStyle name="Обычный 8 8 4 5" xfId="14064"/>
    <cellStyle name="Обычный 8 8 5" xfId="14065"/>
    <cellStyle name="Обычный 8 8 5 2" xfId="14066"/>
    <cellStyle name="Обычный 8 8 5 2 2" xfId="14067"/>
    <cellStyle name="Обычный 8 8 5 2 2 2" xfId="14068"/>
    <cellStyle name="Обычный 8 8 5 2 2 3" xfId="14069"/>
    <cellStyle name="Обычный 8 8 5 2 3" xfId="14070"/>
    <cellStyle name="Обычный 8 8 5 2 4" xfId="14071"/>
    <cellStyle name="Обычный 8 8 5 3" xfId="14072"/>
    <cellStyle name="Обычный 8 8 5 3 2" xfId="14073"/>
    <cellStyle name="Обычный 8 8 5 3 3" xfId="14074"/>
    <cellStyle name="Обычный 8 8 5 4" xfId="14075"/>
    <cellStyle name="Обычный 8 8 5 5" xfId="14076"/>
    <cellStyle name="Обычный 8 8 6" xfId="14077"/>
    <cellStyle name="Обычный 8 8 6 2" xfId="14078"/>
    <cellStyle name="Обычный 8 8 6 2 2" xfId="14079"/>
    <cellStyle name="Обычный 8 8 6 2 2 2" xfId="14080"/>
    <cellStyle name="Обычный 8 8 6 2 2 3" xfId="14081"/>
    <cellStyle name="Обычный 8 8 6 2 3" xfId="14082"/>
    <cellStyle name="Обычный 8 8 6 2 4" xfId="14083"/>
    <cellStyle name="Обычный 8 8 6 3" xfId="14084"/>
    <cellStyle name="Обычный 8 8 6 3 2" xfId="14085"/>
    <cellStyle name="Обычный 8 8 6 3 3" xfId="14086"/>
    <cellStyle name="Обычный 8 8 6 4" xfId="14087"/>
    <cellStyle name="Обычный 8 8 6 5" xfId="14088"/>
    <cellStyle name="Обычный 8 8 7" xfId="14089"/>
    <cellStyle name="Обычный 8 8 7 2" xfId="14090"/>
    <cellStyle name="Обычный 8 8 7 2 2" xfId="14091"/>
    <cellStyle name="Обычный 8 8 7 2 3" xfId="14092"/>
    <cellStyle name="Обычный 8 8 7 3" xfId="14093"/>
    <cellStyle name="Обычный 8 8 7 4" xfId="14094"/>
    <cellStyle name="Обычный 8 8 8" xfId="14095"/>
    <cellStyle name="Обычный 8 8 8 2" xfId="14096"/>
    <cellStyle name="Обычный 8 8 8 3" xfId="14097"/>
    <cellStyle name="Обычный 8 8 9" xfId="14098"/>
    <cellStyle name="Обычный 8 8_Расчет  30 млн_Технополис  Коренькова" xfId="14099"/>
    <cellStyle name="Обычный 8 9" xfId="14100"/>
    <cellStyle name="Обычный 8 9 2" xfId="14101"/>
    <cellStyle name="Обычный 8 9 2 2" xfId="14102"/>
    <cellStyle name="Обычный 8 9 2 2 2" xfId="14103"/>
    <cellStyle name="Обычный 8 9 2 2 3" xfId="14104"/>
    <cellStyle name="Обычный 8 9 2 3" xfId="14105"/>
    <cellStyle name="Обычный 8 9 2 4" xfId="14106"/>
    <cellStyle name="Обычный 8 9 3" xfId="14107"/>
    <cellStyle name="Обычный 8 9 3 2" xfId="14108"/>
    <cellStyle name="Обычный 8 9 3 3" xfId="14109"/>
    <cellStyle name="Обычный 8 9 4" xfId="14110"/>
    <cellStyle name="Обычный 8 9 5" xfId="14111"/>
    <cellStyle name="Обычный 8 9 6" xfId="14112"/>
    <cellStyle name="Обычный 8_1 ВАР. КП 1 293  +8пропорцЛара" xfId="14113"/>
    <cellStyle name="Обычный 80" xfId="14114"/>
    <cellStyle name="Обычный 81" xfId="14115"/>
    <cellStyle name="Обычный 82" xfId="14116"/>
    <cellStyle name="Обычный 83" xfId="14117"/>
    <cellStyle name="Обычный 84" xfId="14118"/>
    <cellStyle name="Обычный 85" xfId="14119"/>
    <cellStyle name="Обычный 86" xfId="14120"/>
    <cellStyle name="Обычный 87" xfId="14121"/>
    <cellStyle name="Обычный 87 2" xfId="14122"/>
    <cellStyle name="Обычный 88" xfId="14123"/>
    <cellStyle name="Обычный 89" xfId="14124"/>
    <cellStyle name="Обычный 9" xfId="14125"/>
    <cellStyle name="Обычный 9 10" xfId="14126"/>
    <cellStyle name="Обычный 9 10 2" xfId="14127"/>
    <cellStyle name="Обычный 9 10 2 2" xfId="14128"/>
    <cellStyle name="Обычный 9 10 2 2 2" xfId="14129"/>
    <cellStyle name="Обычный 9 10 2 2 3" xfId="14130"/>
    <cellStyle name="Обычный 9 10 2 3" xfId="14131"/>
    <cellStyle name="Обычный 9 10 2 4" xfId="14132"/>
    <cellStyle name="Обычный 9 10 3" xfId="14133"/>
    <cellStyle name="Обычный 9 10 3 2" xfId="14134"/>
    <cellStyle name="Обычный 9 10 3 3" xfId="14135"/>
    <cellStyle name="Обычный 9 10 4" xfId="14136"/>
    <cellStyle name="Обычный 9 10 5" xfId="14137"/>
    <cellStyle name="Обычный 9 10 6" xfId="14138"/>
    <cellStyle name="Обычный 9 11" xfId="14139"/>
    <cellStyle name="Обычный 9 11 2" xfId="14140"/>
    <cellStyle name="Обычный 9 11 2 2" xfId="14141"/>
    <cellStyle name="Обычный 9 11 2 2 2" xfId="14142"/>
    <cellStyle name="Обычный 9 11 2 2 3" xfId="14143"/>
    <cellStyle name="Обычный 9 11 2 3" xfId="14144"/>
    <cellStyle name="Обычный 9 11 2 4" xfId="14145"/>
    <cellStyle name="Обычный 9 11 3" xfId="14146"/>
    <cellStyle name="Обычный 9 11 3 2" xfId="14147"/>
    <cellStyle name="Обычный 9 11 3 3" xfId="14148"/>
    <cellStyle name="Обычный 9 11 4" xfId="14149"/>
    <cellStyle name="Обычный 9 11 5" xfId="14150"/>
    <cellStyle name="Обычный 9 12" xfId="14151"/>
    <cellStyle name="Обычный 9 12 2" xfId="14152"/>
    <cellStyle name="Обычный 9 12 2 2" xfId="14153"/>
    <cellStyle name="Обычный 9 12 2 2 2" xfId="14154"/>
    <cellStyle name="Обычный 9 12 2 2 3" xfId="14155"/>
    <cellStyle name="Обычный 9 12 2 3" xfId="14156"/>
    <cellStyle name="Обычный 9 12 2 4" xfId="14157"/>
    <cellStyle name="Обычный 9 12 3" xfId="14158"/>
    <cellStyle name="Обычный 9 12 3 2" xfId="14159"/>
    <cellStyle name="Обычный 9 12 3 3" xfId="14160"/>
    <cellStyle name="Обычный 9 12 4" xfId="14161"/>
    <cellStyle name="Обычный 9 12 5" xfId="14162"/>
    <cellStyle name="Обычный 9 13" xfId="14163"/>
    <cellStyle name="Обычный 9 13 2" xfId="14164"/>
    <cellStyle name="Обычный 9 13 2 2" xfId="14165"/>
    <cellStyle name="Обычный 9 13 2 2 2" xfId="14166"/>
    <cellStyle name="Обычный 9 13 2 2 3" xfId="14167"/>
    <cellStyle name="Обычный 9 13 2 3" xfId="14168"/>
    <cellStyle name="Обычный 9 13 2 4" xfId="14169"/>
    <cellStyle name="Обычный 9 13 3" xfId="14170"/>
    <cellStyle name="Обычный 9 13 3 2" xfId="14171"/>
    <cellStyle name="Обычный 9 13 3 3" xfId="14172"/>
    <cellStyle name="Обычный 9 13 4" xfId="14173"/>
    <cellStyle name="Обычный 9 13 5" xfId="14174"/>
    <cellStyle name="Обычный 9 14" xfId="14175"/>
    <cellStyle name="Обычный 9 14 2" xfId="14176"/>
    <cellStyle name="Обычный 9 14 2 2" xfId="14177"/>
    <cellStyle name="Обычный 9 14 2 2 2" xfId="14178"/>
    <cellStyle name="Обычный 9 14 2 2 3" xfId="14179"/>
    <cellStyle name="Обычный 9 14 2 3" xfId="14180"/>
    <cellStyle name="Обычный 9 14 2 4" xfId="14181"/>
    <cellStyle name="Обычный 9 14 3" xfId="14182"/>
    <cellStyle name="Обычный 9 14 3 2" xfId="14183"/>
    <cellStyle name="Обычный 9 14 3 3" xfId="14184"/>
    <cellStyle name="Обычный 9 14 4" xfId="14185"/>
    <cellStyle name="Обычный 9 14 5" xfId="14186"/>
    <cellStyle name="Обычный 9 15" xfId="14187"/>
    <cellStyle name="Обычный 9 15 2" xfId="14188"/>
    <cellStyle name="Обычный 9 15 2 2" xfId="14189"/>
    <cellStyle name="Обычный 9 15 2 3" xfId="14190"/>
    <cellStyle name="Обычный 9 15 3" xfId="14191"/>
    <cellStyle name="Обычный 9 15 4" xfId="14192"/>
    <cellStyle name="Обычный 9 16" xfId="14193"/>
    <cellStyle name="Обычный 9 16 2" xfId="14194"/>
    <cellStyle name="Обычный 9 16 3" xfId="14195"/>
    <cellStyle name="Обычный 9 17" xfId="14196"/>
    <cellStyle name="Обычный 9 18" xfId="14197"/>
    <cellStyle name="Обычный 9 2" xfId="14198"/>
    <cellStyle name="Обычный 9 2 10" xfId="14199"/>
    <cellStyle name="Обычный 9 2 10 2" xfId="14200"/>
    <cellStyle name="Обычный 9 2 10 2 2" xfId="14201"/>
    <cellStyle name="Обычный 9 2 10 2 3" xfId="14202"/>
    <cellStyle name="Обычный 9 2 10 3" xfId="14203"/>
    <cellStyle name="Обычный 9 2 10 4" xfId="14204"/>
    <cellStyle name="Обычный 9 2 11" xfId="14205"/>
    <cellStyle name="Обычный 9 2 11 2" xfId="14206"/>
    <cellStyle name="Обычный 9 2 11 3" xfId="14207"/>
    <cellStyle name="Обычный 9 2 12" xfId="14208"/>
    <cellStyle name="Обычный 9 2 13" xfId="14209"/>
    <cellStyle name="Обычный 9 2 2" xfId="14210"/>
    <cellStyle name="Обычный 9 2 2 10" xfId="14211"/>
    <cellStyle name="Обычный 9 2 2 2" xfId="14212"/>
    <cellStyle name="Обычный 9 2 2 2 2" xfId="14213"/>
    <cellStyle name="Обычный 9 2 2 2 2 2" xfId="14214"/>
    <cellStyle name="Обычный 9 2 2 2 2 2 2" xfId="14215"/>
    <cellStyle name="Обычный 9 2 2 2 2 2 3" xfId="14216"/>
    <cellStyle name="Обычный 9 2 2 2 2 3" xfId="14217"/>
    <cellStyle name="Обычный 9 2 2 2 2 4" xfId="14218"/>
    <cellStyle name="Обычный 9 2 2 2 3" xfId="14219"/>
    <cellStyle name="Обычный 9 2 2 2 3 2" xfId="14220"/>
    <cellStyle name="Обычный 9 2 2 2 3 3" xfId="14221"/>
    <cellStyle name="Обычный 9 2 2 2 4" xfId="14222"/>
    <cellStyle name="Обычный 9 2 2 2 5" xfId="14223"/>
    <cellStyle name="Обычный 9 2 2 3" xfId="14224"/>
    <cellStyle name="Обычный 9 2 2 3 2" xfId="14225"/>
    <cellStyle name="Обычный 9 2 2 3 2 2" xfId="14226"/>
    <cellStyle name="Обычный 9 2 2 3 2 2 2" xfId="14227"/>
    <cellStyle name="Обычный 9 2 2 3 2 2 3" xfId="14228"/>
    <cellStyle name="Обычный 9 2 2 3 2 3" xfId="14229"/>
    <cellStyle name="Обычный 9 2 2 3 2 4" xfId="14230"/>
    <cellStyle name="Обычный 9 2 2 3 3" xfId="14231"/>
    <cellStyle name="Обычный 9 2 2 3 3 2" xfId="14232"/>
    <cellStyle name="Обычный 9 2 2 3 3 3" xfId="14233"/>
    <cellStyle name="Обычный 9 2 2 3 4" xfId="14234"/>
    <cellStyle name="Обычный 9 2 2 3 5" xfId="14235"/>
    <cellStyle name="Обычный 9 2 2 4" xfId="14236"/>
    <cellStyle name="Обычный 9 2 2 4 2" xfId="14237"/>
    <cellStyle name="Обычный 9 2 2 4 2 2" xfId="14238"/>
    <cellStyle name="Обычный 9 2 2 4 2 2 2" xfId="14239"/>
    <cellStyle name="Обычный 9 2 2 4 2 2 3" xfId="14240"/>
    <cellStyle name="Обычный 9 2 2 4 2 3" xfId="14241"/>
    <cellStyle name="Обычный 9 2 2 4 2 4" xfId="14242"/>
    <cellStyle name="Обычный 9 2 2 4 3" xfId="14243"/>
    <cellStyle name="Обычный 9 2 2 4 3 2" xfId="14244"/>
    <cellStyle name="Обычный 9 2 2 4 3 3" xfId="14245"/>
    <cellStyle name="Обычный 9 2 2 4 4" xfId="14246"/>
    <cellStyle name="Обычный 9 2 2 4 5" xfId="14247"/>
    <cellStyle name="Обычный 9 2 2 5" xfId="14248"/>
    <cellStyle name="Обычный 9 2 2 5 2" xfId="14249"/>
    <cellStyle name="Обычный 9 2 2 5 2 2" xfId="14250"/>
    <cellStyle name="Обычный 9 2 2 5 2 2 2" xfId="14251"/>
    <cellStyle name="Обычный 9 2 2 5 2 2 3" xfId="14252"/>
    <cellStyle name="Обычный 9 2 2 5 2 3" xfId="14253"/>
    <cellStyle name="Обычный 9 2 2 5 2 4" xfId="14254"/>
    <cellStyle name="Обычный 9 2 2 5 3" xfId="14255"/>
    <cellStyle name="Обычный 9 2 2 5 3 2" xfId="14256"/>
    <cellStyle name="Обычный 9 2 2 5 3 3" xfId="14257"/>
    <cellStyle name="Обычный 9 2 2 5 4" xfId="14258"/>
    <cellStyle name="Обычный 9 2 2 5 5" xfId="14259"/>
    <cellStyle name="Обычный 9 2 2 6" xfId="14260"/>
    <cellStyle name="Обычный 9 2 2 6 2" xfId="14261"/>
    <cellStyle name="Обычный 9 2 2 6 2 2" xfId="14262"/>
    <cellStyle name="Обычный 9 2 2 6 2 2 2" xfId="14263"/>
    <cellStyle name="Обычный 9 2 2 6 2 2 3" xfId="14264"/>
    <cellStyle name="Обычный 9 2 2 6 2 3" xfId="14265"/>
    <cellStyle name="Обычный 9 2 2 6 2 4" xfId="14266"/>
    <cellStyle name="Обычный 9 2 2 6 3" xfId="14267"/>
    <cellStyle name="Обычный 9 2 2 6 3 2" xfId="14268"/>
    <cellStyle name="Обычный 9 2 2 6 3 3" xfId="14269"/>
    <cellStyle name="Обычный 9 2 2 6 4" xfId="14270"/>
    <cellStyle name="Обычный 9 2 2 6 5" xfId="14271"/>
    <cellStyle name="Обычный 9 2 2 7" xfId="14272"/>
    <cellStyle name="Обычный 9 2 2 7 2" xfId="14273"/>
    <cellStyle name="Обычный 9 2 2 7 2 2" xfId="14274"/>
    <cellStyle name="Обычный 9 2 2 7 2 3" xfId="14275"/>
    <cellStyle name="Обычный 9 2 2 7 3" xfId="14276"/>
    <cellStyle name="Обычный 9 2 2 7 4" xfId="14277"/>
    <cellStyle name="Обычный 9 2 2 8" xfId="14278"/>
    <cellStyle name="Обычный 9 2 2 8 2" xfId="14279"/>
    <cellStyle name="Обычный 9 2 2 8 3" xfId="14280"/>
    <cellStyle name="Обычный 9 2 2 9" xfId="14281"/>
    <cellStyle name="Обычный 9 2 2_Расчет  30 млн_Технополис  Коренькова" xfId="14282"/>
    <cellStyle name="Обычный 9 2 3" xfId="14283"/>
    <cellStyle name="Обычный 9 2 3 10" xfId="14284"/>
    <cellStyle name="Обычный 9 2 3 2" xfId="14285"/>
    <cellStyle name="Обычный 9 2 3 2 2" xfId="14286"/>
    <cellStyle name="Обычный 9 2 3 2 2 2" xfId="14287"/>
    <cellStyle name="Обычный 9 2 3 2 2 2 2" xfId="14288"/>
    <cellStyle name="Обычный 9 2 3 2 2 2 3" xfId="14289"/>
    <cellStyle name="Обычный 9 2 3 2 2 3" xfId="14290"/>
    <cellStyle name="Обычный 9 2 3 2 2 4" xfId="14291"/>
    <cellStyle name="Обычный 9 2 3 2 3" xfId="14292"/>
    <cellStyle name="Обычный 9 2 3 2 3 2" xfId="14293"/>
    <cellStyle name="Обычный 9 2 3 2 3 3" xfId="14294"/>
    <cellStyle name="Обычный 9 2 3 2 4" xfId="14295"/>
    <cellStyle name="Обычный 9 2 3 2 5" xfId="14296"/>
    <cellStyle name="Обычный 9 2 3 3" xfId="14297"/>
    <cellStyle name="Обычный 9 2 3 3 2" xfId="14298"/>
    <cellStyle name="Обычный 9 2 3 3 2 2" xfId="14299"/>
    <cellStyle name="Обычный 9 2 3 3 2 2 2" xfId="14300"/>
    <cellStyle name="Обычный 9 2 3 3 2 2 3" xfId="14301"/>
    <cellStyle name="Обычный 9 2 3 3 2 3" xfId="14302"/>
    <cellStyle name="Обычный 9 2 3 3 2 4" xfId="14303"/>
    <cellStyle name="Обычный 9 2 3 3 3" xfId="14304"/>
    <cellStyle name="Обычный 9 2 3 3 3 2" xfId="14305"/>
    <cellStyle name="Обычный 9 2 3 3 3 3" xfId="14306"/>
    <cellStyle name="Обычный 9 2 3 3 4" xfId="14307"/>
    <cellStyle name="Обычный 9 2 3 3 5" xfId="14308"/>
    <cellStyle name="Обычный 9 2 3 4" xfId="14309"/>
    <cellStyle name="Обычный 9 2 3 4 2" xfId="14310"/>
    <cellStyle name="Обычный 9 2 3 4 2 2" xfId="14311"/>
    <cellStyle name="Обычный 9 2 3 4 2 2 2" xfId="14312"/>
    <cellStyle name="Обычный 9 2 3 4 2 2 3" xfId="14313"/>
    <cellStyle name="Обычный 9 2 3 4 2 3" xfId="14314"/>
    <cellStyle name="Обычный 9 2 3 4 2 4" xfId="14315"/>
    <cellStyle name="Обычный 9 2 3 4 3" xfId="14316"/>
    <cellStyle name="Обычный 9 2 3 4 3 2" xfId="14317"/>
    <cellStyle name="Обычный 9 2 3 4 3 3" xfId="14318"/>
    <cellStyle name="Обычный 9 2 3 4 4" xfId="14319"/>
    <cellStyle name="Обычный 9 2 3 4 5" xfId="14320"/>
    <cellStyle name="Обычный 9 2 3 5" xfId="14321"/>
    <cellStyle name="Обычный 9 2 3 5 2" xfId="14322"/>
    <cellStyle name="Обычный 9 2 3 5 2 2" xfId="14323"/>
    <cellStyle name="Обычный 9 2 3 5 2 2 2" xfId="14324"/>
    <cellStyle name="Обычный 9 2 3 5 2 2 3" xfId="14325"/>
    <cellStyle name="Обычный 9 2 3 5 2 3" xfId="14326"/>
    <cellStyle name="Обычный 9 2 3 5 2 4" xfId="14327"/>
    <cellStyle name="Обычный 9 2 3 5 3" xfId="14328"/>
    <cellStyle name="Обычный 9 2 3 5 3 2" xfId="14329"/>
    <cellStyle name="Обычный 9 2 3 5 3 3" xfId="14330"/>
    <cellStyle name="Обычный 9 2 3 5 4" xfId="14331"/>
    <cellStyle name="Обычный 9 2 3 5 5" xfId="14332"/>
    <cellStyle name="Обычный 9 2 3 6" xfId="14333"/>
    <cellStyle name="Обычный 9 2 3 6 2" xfId="14334"/>
    <cellStyle name="Обычный 9 2 3 6 2 2" xfId="14335"/>
    <cellStyle name="Обычный 9 2 3 6 2 2 2" xfId="14336"/>
    <cellStyle name="Обычный 9 2 3 6 2 2 3" xfId="14337"/>
    <cellStyle name="Обычный 9 2 3 6 2 3" xfId="14338"/>
    <cellStyle name="Обычный 9 2 3 6 2 4" xfId="14339"/>
    <cellStyle name="Обычный 9 2 3 6 3" xfId="14340"/>
    <cellStyle name="Обычный 9 2 3 6 3 2" xfId="14341"/>
    <cellStyle name="Обычный 9 2 3 6 3 3" xfId="14342"/>
    <cellStyle name="Обычный 9 2 3 6 4" xfId="14343"/>
    <cellStyle name="Обычный 9 2 3 6 5" xfId="14344"/>
    <cellStyle name="Обычный 9 2 3 7" xfId="14345"/>
    <cellStyle name="Обычный 9 2 3 7 2" xfId="14346"/>
    <cellStyle name="Обычный 9 2 3 7 2 2" xfId="14347"/>
    <cellStyle name="Обычный 9 2 3 7 2 3" xfId="14348"/>
    <cellStyle name="Обычный 9 2 3 7 3" xfId="14349"/>
    <cellStyle name="Обычный 9 2 3 7 4" xfId="14350"/>
    <cellStyle name="Обычный 9 2 3 8" xfId="14351"/>
    <cellStyle name="Обычный 9 2 3 8 2" xfId="14352"/>
    <cellStyle name="Обычный 9 2 3 8 3" xfId="14353"/>
    <cellStyle name="Обычный 9 2 3 9" xfId="14354"/>
    <cellStyle name="Обычный 9 2 3_Расчет  30 млн_Технополис  Коренькова" xfId="14355"/>
    <cellStyle name="Обычный 9 2 4" xfId="14356"/>
    <cellStyle name="Обычный 9 2 4 10" xfId="14357"/>
    <cellStyle name="Обычный 9 2 4 2" xfId="14358"/>
    <cellStyle name="Обычный 9 2 4 2 2" xfId="14359"/>
    <cellStyle name="Обычный 9 2 4 2 2 2" xfId="14360"/>
    <cellStyle name="Обычный 9 2 4 2 3" xfId="14361"/>
    <cellStyle name="Обычный 9 2 4 3" xfId="14362"/>
    <cellStyle name="Обычный 9 2 4 3 2" xfId="14363"/>
    <cellStyle name="Обычный 9 2 4 3 2 2" xfId="14364"/>
    <cellStyle name="Обычный 9 2 4 3 2 2 2" xfId="14365"/>
    <cellStyle name="Обычный 9 2 4 3 2 2 3" xfId="14366"/>
    <cellStyle name="Обычный 9 2 4 3 2 3" xfId="14367"/>
    <cellStyle name="Обычный 9 2 4 3 2 4" xfId="14368"/>
    <cellStyle name="Обычный 9 2 4 3 3" xfId="14369"/>
    <cellStyle name="Обычный 9 2 4 3 3 2" xfId="14370"/>
    <cellStyle name="Обычный 9 2 4 3 3 3" xfId="14371"/>
    <cellStyle name="Обычный 9 2 4 3 4" xfId="14372"/>
    <cellStyle name="Обычный 9 2 4 3 5" xfId="14373"/>
    <cellStyle name="Обычный 9 2 4 4" xfId="14374"/>
    <cellStyle name="Обычный 9 2 4 4 2" xfId="14375"/>
    <cellStyle name="Обычный 9 2 4 4 2 2" xfId="14376"/>
    <cellStyle name="Обычный 9 2 4 4 2 2 2" xfId="14377"/>
    <cellStyle name="Обычный 9 2 4 4 2 2 3" xfId="14378"/>
    <cellStyle name="Обычный 9 2 4 4 2 3" xfId="14379"/>
    <cellStyle name="Обычный 9 2 4 4 2 4" xfId="14380"/>
    <cellStyle name="Обычный 9 2 4 4 3" xfId="14381"/>
    <cellStyle name="Обычный 9 2 4 4 3 2" xfId="14382"/>
    <cellStyle name="Обычный 9 2 4 4 3 3" xfId="14383"/>
    <cellStyle name="Обычный 9 2 4 4 4" xfId="14384"/>
    <cellStyle name="Обычный 9 2 4 4 5" xfId="14385"/>
    <cellStyle name="Обычный 9 2 4 5" xfId="14386"/>
    <cellStyle name="Обычный 9 2 4 5 2" xfId="14387"/>
    <cellStyle name="Обычный 9 2 4 5 2 2" xfId="14388"/>
    <cellStyle name="Обычный 9 2 4 5 2 2 2" xfId="14389"/>
    <cellStyle name="Обычный 9 2 4 5 2 2 3" xfId="14390"/>
    <cellStyle name="Обычный 9 2 4 5 2 3" xfId="14391"/>
    <cellStyle name="Обычный 9 2 4 5 2 4" xfId="14392"/>
    <cellStyle name="Обычный 9 2 4 5 3" xfId="14393"/>
    <cellStyle name="Обычный 9 2 4 5 3 2" xfId="14394"/>
    <cellStyle name="Обычный 9 2 4 5 3 3" xfId="14395"/>
    <cellStyle name="Обычный 9 2 4 5 4" xfId="14396"/>
    <cellStyle name="Обычный 9 2 4 5 5" xfId="14397"/>
    <cellStyle name="Обычный 9 2 4 6" xfId="14398"/>
    <cellStyle name="Обычный 9 2 4 6 2" xfId="14399"/>
    <cellStyle name="Обычный 9 2 4 6 2 2" xfId="14400"/>
    <cellStyle name="Обычный 9 2 4 6 2 2 2" xfId="14401"/>
    <cellStyle name="Обычный 9 2 4 6 2 2 3" xfId="14402"/>
    <cellStyle name="Обычный 9 2 4 6 2 3" xfId="14403"/>
    <cellStyle name="Обычный 9 2 4 6 2 4" xfId="14404"/>
    <cellStyle name="Обычный 9 2 4 6 3" xfId="14405"/>
    <cellStyle name="Обычный 9 2 4 6 3 2" xfId="14406"/>
    <cellStyle name="Обычный 9 2 4 6 3 3" xfId="14407"/>
    <cellStyle name="Обычный 9 2 4 6 4" xfId="14408"/>
    <cellStyle name="Обычный 9 2 4 6 5" xfId="14409"/>
    <cellStyle name="Обычный 9 2 4 7" xfId="14410"/>
    <cellStyle name="Обычный 9 2 4 7 2" xfId="14411"/>
    <cellStyle name="Обычный 9 2 4 7 2 2" xfId="14412"/>
    <cellStyle name="Обычный 9 2 4 7 2 3" xfId="14413"/>
    <cellStyle name="Обычный 9 2 4 7 3" xfId="14414"/>
    <cellStyle name="Обычный 9 2 4 7 4" xfId="14415"/>
    <cellStyle name="Обычный 9 2 4 8" xfId="14416"/>
    <cellStyle name="Обычный 9 2 4 8 2" xfId="14417"/>
    <cellStyle name="Обычный 9 2 4 8 3" xfId="14418"/>
    <cellStyle name="Обычный 9 2 4 9" xfId="14419"/>
    <cellStyle name="Обычный 9 2 4_Расчет  30 млн_Технополис  Коренькова" xfId="14420"/>
    <cellStyle name="Обычный 9 2 5" xfId="14421"/>
    <cellStyle name="Обычный 9 2 5 2" xfId="14422"/>
    <cellStyle name="Обычный 9 2 5 2 2" xfId="14423"/>
    <cellStyle name="Обычный 9 2 5 2 2 2" xfId="14424"/>
    <cellStyle name="Обычный 9 2 5 2 2 3" xfId="14425"/>
    <cellStyle name="Обычный 9 2 5 2 3" xfId="14426"/>
    <cellStyle name="Обычный 9 2 5 2 4" xfId="14427"/>
    <cellStyle name="Обычный 9 2 5 3" xfId="14428"/>
    <cellStyle name="Обычный 9 2 5 3 2" xfId="14429"/>
    <cellStyle name="Обычный 9 2 5 3 3" xfId="14430"/>
    <cellStyle name="Обычный 9 2 5 4" xfId="14431"/>
    <cellStyle name="Обычный 9 2 5 5" xfId="14432"/>
    <cellStyle name="Обычный 9 2 6" xfId="14433"/>
    <cellStyle name="Обычный 9 2 6 2" xfId="14434"/>
    <cellStyle name="Обычный 9 2 6 2 2" xfId="14435"/>
    <cellStyle name="Обычный 9 2 6 2 2 2" xfId="14436"/>
    <cellStyle name="Обычный 9 2 6 2 2 3" xfId="14437"/>
    <cellStyle name="Обычный 9 2 6 2 3" xfId="14438"/>
    <cellStyle name="Обычный 9 2 6 2 4" xfId="14439"/>
    <cellStyle name="Обычный 9 2 6 3" xfId="14440"/>
    <cellStyle name="Обычный 9 2 6 3 2" xfId="14441"/>
    <cellStyle name="Обычный 9 2 6 3 3" xfId="14442"/>
    <cellStyle name="Обычный 9 2 6 4" xfId="14443"/>
    <cellStyle name="Обычный 9 2 6 5" xfId="14444"/>
    <cellStyle name="Обычный 9 2 7" xfId="14445"/>
    <cellStyle name="Обычный 9 2 7 2" xfId="14446"/>
    <cellStyle name="Обычный 9 2 7 2 2" xfId="14447"/>
    <cellStyle name="Обычный 9 2 7 2 2 2" xfId="14448"/>
    <cellStyle name="Обычный 9 2 7 2 2 3" xfId="14449"/>
    <cellStyle name="Обычный 9 2 7 2 3" xfId="14450"/>
    <cellStyle name="Обычный 9 2 7 2 4" xfId="14451"/>
    <cellStyle name="Обычный 9 2 7 3" xfId="14452"/>
    <cellStyle name="Обычный 9 2 7 3 2" xfId="14453"/>
    <cellStyle name="Обычный 9 2 7 3 3" xfId="14454"/>
    <cellStyle name="Обычный 9 2 7 4" xfId="14455"/>
    <cellStyle name="Обычный 9 2 7 5" xfId="14456"/>
    <cellStyle name="Обычный 9 2 8" xfId="14457"/>
    <cellStyle name="Обычный 9 2 8 2" xfId="14458"/>
    <cellStyle name="Обычный 9 2 8 2 2" xfId="14459"/>
    <cellStyle name="Обычный 9 2 8 2 2 2" xfId="14460"/>
    <cellStyle name="Обычный 9 2 8 2 2 3" xfId="14461"/>
    <cellStyle name="Обычный 9 2 8 2 3" xfId="14462"/>
    <cellStyle name="Обычный 9 2 8 2 4" xfId="14463"/>
    <cellStyle name="Обычный 9 2 8 3" xfId="14464"/>
    <cellStyle name="Обычный 9 2 8 3 2" xfId="14465"/>
    <cellStyle name="Обычный 9 2 8 3 3" xfId="14466"/>
    <cellStyle name="Обычный 9 2 8 4" xfId="14467"/>
    <cellStyle name="Обычный 9 2 8 5" xfId="14468"/>
    <cellStyle name="Обычный 9 2 9" xfId="14469"/>
    <cellStyle name="Обычный 9 2 9 2" xfId="14470"/>
    <cellStyle name="Обычный 9 2 9 2 2" xfId="14471"/>
    <cellStyle name="Обычный 9 2 9 2 2 2" xfId="14472"/>
    <cellStyle name="Обычный 9 2 9 2 2 3" xfId="14473"/>
    <cellStyle name="Обычный 9 2 9 2 3" xfId="14474"/>
    <cellStyle name="Обычный 9 2 9 2 4" xfId="14475"/>
    <cellStyle name="Обычный 9 2 9 3" xfId="14476"/>
    <cellStyle name="Обычный 9 2 9 3 2" xfId="14477"/>
    <cellStyle name="Обычный 9 2 9 3 3" xfId="14478"/>
    <cellStyle name="Обычный 9 2 9 4" xfId="14479"/>
    <cellStyle name="Обычный 9 2 9 5" xfId="14480"/>
    <cellStyle name="Обычный 9 2_1 ВАР. КП 1 293  +8пропорцЛара" xfId="14481"/>
    <cellStyle name="Обычный 9 3" xfId="14482"/>
    <cellStyle name="Обычный 9 3 10" xfId="14483"/>
    <cellStyle name="Обычный 9 3 10 2" xfId="14484"/>
    <cellStyle name="Обычный 9 3 10 2 2" xfId="14485"/>
    <cellStyle name="Обычный 9 3 10 2 3" xfId="14486"/>
    <cellStyle name="Обычный 9 3 10 3" xfId="14487"/>
    <cellStyle name="Обычный 9 3 10 4" xfId="14488"/>
    <cellStyle name="Обычный 9 3 11" xfId="14489"/>
    <cellStyle name="Обычный 9 3 11 2" xfId="14490"/>
    <cellStyle name="Обычный 9 3 11 3" xfId="14491"/>
    <cellStyle name="Обычный 9 3 12" xfId="14492"/>
    <cellStyle name="Обычный 9 3 13" xfId="14493"/>
    <cellStyle name="Обычный 9 3 2" xfId="14494"/>
    <cellStyle name="Обычный 9 3 2 10" xfId="14495"/>
    <cellStyle name="Обычный 9 3 2 2" xfId="14496"/>
    <cellStyle name="Обычный 9 3 2 2 2" xfId="14497"/>
    <cellStyle name="Обычный 9 3 2 2 2 2" xfId="14498"/>
    <cellStyle name="Обычный 9 3 2 2 2 2 2" xfId="14499"/>
    <cellStyle name="Обычный 9 3 2 2 2 2 3" xfId="14500"/>
    <cellStyle name="Обычный 9 3 2 2 2 3" xfId="14501"/>
    <cellStyle name="Обычный 9 3 2 2 2 4" xfId="14502"/>
    <cellStyle name="Обычный 9 3 2 2 3" xfId="14503"/>
    <cellStyle name="Обычный 9 3 2 2 3 2" xfId="14504"/>
    <cellStyle name="Обычный 9 3 2 2 3 3" xfId="14505"/>
    <cellStyle name="Обычный 9 3 2 2 4" xfId="14506"/>
    <cellStyle name="Обычный 9 3 2 2 5" xfId="14507"/>
    <cellStyle name="Обычный 9 3 2 3" xfId="14508"/>
    <cellStyle name="Обычный 9 3 2 3 2" xfId="14509"/>
    <cellStyle name="Обычный 9 3 2 3 2 2" xfId="14510"/>
    <cellStyle name="Обычный 9 3 2 3 2 2 2" xfId="14511"/>
    <cellStyle name="Обычный 9 3 2 3 2 2 3" xfId="14512"/>
    <cellStyle name="Обычный 9 3 2 3 2 3" xfId="14513"/>
    <cellStyle name="Обычный 9 3 2 3 2 4" xfId="14514"/>
    <cellStyle name="Обычный 9 3 2 3 3" xfId="14515"/>
    <cellStyle name="Обычный 9 3 2 3 3 2" xfId="14516"/>
    <cellStyle name="Обычный 9 3 2 3 3 3" xfId="14517"/>
    <cellStyle name="Обычный 9 3 2 3 4" xfId="14518"/>
    <cellStyle name="Обычный 9 3 2 3 5" xfId="14519"/>
    <cellStyle name="Обычный 9 3 2 4" xfId="14520"/>
    <cellStyle name="Обычный 9 3 2 4 2" xfId="14521"/>
    <cellStyle name="Обычный 9 3 2 4 2 2" xfId="14522"/>
    <cellStyle name="Обычный 9 3 2 4 2 2 2" xfId="14523"/>
    <cellStyle name="Обычный 9 3 2 4 2 2 3" xfId="14524"/>
    <cellStyle name="Обычный 9 3 2 4 2 3" xfId="14525"/>
    <cellStyle name="Обычный 9 3 2 4 2 4" xfId="14526"/>
    <cellStyle name="Обычный 9 3 2 4 3" xfId="14527"/>
    <cellStyle name="Обычный 9 3 2 4 3 2" xfId="14528"/>
    <cellStyle name="Обычный 9 3 2 4 3 3" xfId="14529"/>
    <cellStyle name="Обычный 9 3 2 4 4" xfId="14530"/>
    <cellStyle name="Обычный 9 3 2 4 5" xfId="14531"/>
    <cellStyle name="Обычный 9 3 2 5" xfId="14532"/>
    <cellStyle name="Обычный 9 3 2 5 2" xfId="14533"/>
    <cellStyle name="Обычный 9 3 2 5 2 2" xfId="14534"/>
    <cellStyle name="Обычный 9 3 2 5 2 2 2" xfId="14535"/>
    <cellStyle name="Обычный 9 3 2 5 2 2 3" xfId="14536"/>
    <cellStyle name="Обычный 9 3 2 5 2 3" xfId="14537"/>
    <cellStyle name="Обычный 9 3 2 5 2 4" xfId="14538"/>
    <cellStyle name="Обычный 9 3 2 5 3" xfId="14539"/>
    <cellStyle name="Обычный 9 3 2 5 3 2" xfId="14540"/>
    <cellStyle name="Обычный 9 3 2 5 3 3" xfId="14541"/>
    <cellStyle name="Обычный 9 3 2 5 4" xfId="14542"/>
    <cellStyle name="Обычный 9 3 2 5 5" xfId="14543"/>
    <cellStyle name="Обычный 9 3 2 6" xfId="14544"/>
    <cellStyle name="Обычный 9 3 2 6 2" xfId="14545"/>
    <cellStyle name="Обычный 9 3 2 6 2 2" xfId="14546"/>
    <cellStyle name="Обычный 9 3 2 6 2 2 2" xfId="14547"/>
    <cellStyle name="Обычный 9 3 2 6 2 2 3" xfId="14548"/>
    <cellStyle name="Обычный 9 3 2 6 2 3" xfId="14549"/>
    <cellStyle name="Обычный 9 3 2 6 2 4" xfId="14550"/>
    <cellStyle name="Обычный 9 3 2 6 3" xfId="14551"/>
    <cellStyle name="Обычный 9 3 2 6 3 2" xfId="14552"/>
    <cellStyle name="Обычный 9 3 2 6 3 3" xfId="14553"/>
    <cellStyle name="Обычный 9 3 2 6 4" xfId="14554"/>
    <cellStyle name="Обычный 9 3 2 6 5" xfId="14555"/>
    <cellStyle name="Обычный 9 3 2 7" xfId="14556"/>
    <cellStyle name="Обычный 9 3 2 7 2" xfId="14557"/>
    <cellStyle name="Обычный 9 3 2 7 2 2" xfId="14558"/>
    <cellStyle name="Обычный 9 3 2 7 2 3" xfId="14559"/>
    <cellStyle name="Обычный 9 3 2 7 3" xfId="14560"/>
    <cellStyle name="Обычный 9 3 2 7 4" xfId="14561"/>
    <cellStyle name="Обычный 9 3 2 8" xfId="14562"/>
    <cellStyle name="Обычный 9 3 2 8 2" xfId="14563"/>
    <cellStyle name="Обычный 9 3 2 8 3" xfId="14564"/>
    <cellStyle name="Обычный 9 3 2 9" xfId="14565"/>
    <cellStyle name="Обычный 9 3 2_Расчет  30 млн_Технополис  Коренькова" xfId="14566"/>
    <cellStyle name="Обычный 9 3 3" xfId="14567"/>
    <cellStyle name="Обычный 9 3 3 10" xfId="14568"/>
    <cellStyle name="Обычный 9 3 3 2" xfId="14569"/>
    <cellStyle name="Обычный 9 3 3 2 2" xfId="14570"/>
    <cellStyle name="Обычный 9 3 3 2 2 2" xfId="14571"/>
    <cellStyle name="Обычный 9 3 3 2 2 2 2" xfId="14572"/>
    <cellStyle name="Обычный 9 3 3 2 2 2 3" xfId="14573"/>
    <cellStyle name="Обычный 9 3 3 2 2 3" xfId="14574"/>
    <cellStyle name="Обычный 9 3 3 2 2 4" xfId="14575"/>
    <cellStyle name="Обычный 9 3 3 2 3" xfId="14576"/>
    <cellStyle name="Обычный 9 3 3 2 3 2" xfId="14577"/>
    <cellStyle name="Обычный 9 3 3 2 3 3" xfId="14578"/>
    <cellStyle name="Обычный 9 3 3 2 4" xfId="14579"/>
    <cellStyle name="Обычный 9 3 3 2 5" xfId="14580"/>
    <cellStyle name="Обычный 9 3 3 3" xfId="14581"/>
    <cellStyle name="Обычный 9 3 3 3 2" xfId="14582"/>
    <cellStyle name="Обычный 9 3 3 3 2 2" xfId="14583"/>
    <cellStyle name="Обычный 9 3 3 3 2 2 2" xfId="14584"/>
    <cellStyle name="Обычный 9 3 3 3 2 2 3" xfId="14585"/>
    <cellStyle name="Обычный 9 3 3 3 2 3" xfId="14586"/>
    <cellStyle name="Обычный 9 3 3 3 2 4" xfId="14587"/>
    <cellStyle name="Обычный 9 3 3 3 3" xfId="14588"/>
    <cellStyle name="Обычный 9 3 3 3 3 2" xfId="14589"/>
    <cellStyle name="Обычный 9 3 3 3 3 3" xfId="14590"/>
    <cellStyle name="Обычный 9 3 3 3 4" xfId="14591"/>
    <cellStyle name="Обычный 9 3 3 3 5" xfId="14592"/>
    <cellStyle name="Обычный 9 3 3 4" xfId="14593"/>
    <cellStyle name="Обычный 9 3 3 4 2" xfId="14594"/>
    <cellStyle name="Обычный 9 3 3 4 2 2" xfId="14595"/>
    <cellStyle name="Обычный 9 3 3 4 2 2 2" xfId="14596"/>
    <cellStyle name="Обычный 9 3 3 4 2 2 3" xfId="14597"/>
    <cellStyle name="Обычный 9 3 3 4 2 3" xfId="14598"/>
    <cellStyle name="Обычный 9 3 3 4 2 4" xfId="14599"/>
    <cellStyle name="Обычный 9 3 3 4 3" xfId="14600"/>
    <cellStyle name="Обычный 9 3 3 4 3 2" xfId="14601"/>
    <cellStyle name="Обычный 9 3 3 4 3 3" xfId="14602"/>
    <cellStyle name="Обычный 9 3 3 4 4" xfId="14603"/>
    <cellStyle name="Обычный 9 3 3 4 5" xfId="14604"/>
    <cellStyle name="Обычный 9 3 3 5" xfId="14605"/>
    <cellStyle name="Обычный 9 3 3 5 2" xfId="14606"/>
    <cellStyle name="Обычный 9 3 3 5 2 2" xfId="14607"/>
    <cellStyle name="Обычный 9 3 3 5 2 2 2" xfId="14608"/>
    <cellStyle name="Обычный 9 3 3 5 2 2 3" xfId="14609"/>
    <cellStyle name="Обычный 9 3 3 5 2 3" xfId="14610"/>
    <cellStyle name="Обычный 9 3 3 5 2 4" xfId="14611"/>
    <cellStyle name="Обычный 9 3 3 5 3" xfId="14612"/>
    <cellStyle name="Обычный 9 3 3 5 3 2" xfId="14613"/>
    <cellStyle name="Обычный 9 3 3 5 3 3" xfId="14614"/>
    <cellStyle name="Обычный 9 3 3 5 4" xfId="14615"/>
    <cellStyle name="Обычный 9 3 3 5 5" xfId="14616"/>
    <cellStyle name="Обычный 9 3 3 6" xfId="14617"/>
    <cellStyle name="Обычный 9 3 3 6 2" xfId="14618"/>
    <cellStyle name="Обычный 9 3 3 6 2 2" xfId="14619"/>
    <cellStyle name="Обычный 9 3 3 6 2 2 2" xfId="14620"/>
    <cellStyle name="Обычный 9 3 3 6 2 2 3" xfId="14621"/>
    <cellStyle name="Обычный 9 3 3 6 2 3" xfId="14622"/>
    <cellStyle name="Обычный 9 3 3 6 2 4" xfId="14623"/>
    <cellStyle name="Обычный 9 3 3 6 3" xfId="14624"/>
    <cellStyle name="Обычный 9 3 3 6 3 2" xfId="14625"/>
    <cellStyle name="Обычный 9 3 3 6 3 3" xfId="14626"/>
    <cellStyle name="Обычный 9 3 3 6 4" xfId="14627"/>
    <cellStyle name="Обычный 9 3 3 6 5" xfId="14628"/>
    <cellStyle name="Обычный 9 3 3 7" xfId="14629"/>
    <cellStyle name="Обычный 9 3 3 7 2" xfId="14630"/>
    <cellStyle name="Обычный 9 3 3 7 2 2" xfId="14631"/>
    <cellStyle name="Обычный 9 3 3 7 2 3" xfId="14632"/>
    <cellStyle name="Обычный 9 3 3 7 3" xfId="14633"/>
    <cellStyle name="Обычный 9 3 3 7 4" xfId="14634"/>
    <cellStyle name="Обычный 9 3 3 8" xfId="14635"/>
    <cellStyle name="Обычный 9 3 3 8 2" xfId="14636"/>
    <cellStyle name="Обычный 9 3 3 8 3" xfId="14637"/>
    <cellStyle name="Обычный 9 3 3 9" xfId="14638"/>
    <cellStyle name="Обычный 9 3 3_Расчет  30 млн_Технополис  Коренькова" xfId="14639"/>
    <cellStyle name="Обычный 9 3 4" xfId="14640"/>
    <cellStyle name="Обычный 9 3 4 10" xfId="14641"/>
    <cellStyle name="Обычный 9 3 4 2" xfId="14642"/>
    <cellStyle name="Обычный 9 3 4 2 2" xfId="14643"/>
    <cellStyle name="Обычный 9 3 4 2 2 2" xfId="14644"/>
    <cellStyle name="Обычный 9 3 4 2 2 2 2" xfId="14645"/>
    <cellStyle name="Обычный 9 3 4 2 2 2 3" xfId="14646"/>
    <cellStyle name="Обычный 9 3 4 2 2 3" xfId="14647"/>
    <cellStyle name="Обычный 9 3 4 2 2 4" xfId="14648"/>
    <cellStyle name="Обычный 9 3 4 2 3" xfId="14649"/>
    <cellStyle name="Обычный 9 3 4 2 3 2" xfId="14650"/>
    <cellStyle name="Обычный 9 3 4 2 3 3" xfId="14651"/>
    <cellStyle name="Обычный 9 3 4 2 4" xfId="14652"/>
    <cellStyle name="Обычный 9 3 4 2 5" xfId="14653"/>
    <cellStyle name="Обычный 9 3 4 3" xfId="14654"/>
    <cellStyle name="Обычный 9 3 4 3 2" xfId="14655"/>
    <cellStyle name="Обычный 9 3 4 3 2 2" xfId="14656"/>
    <cellStyle name="Обычный 9 3 4 3 2 2 2" xfId="14657"/>
    <cellStyle name="Обычный 9 3 4 3 2 2 3" xfId="14658"/>
    <cellStyle name="Обычный 9 3 4 3 2 3" xfId="14659"/>
    <cellStyle name="Обычный 9 3 4 3 2 4" xfId="14660"/>
    <cellStyle name="Обычный 9 3 4 3 3" xfId="14661"/>
    <cellStyle name="Обычный 9 3 4 3 3 2" xfId="14662"/>
    <cellStyle name="Обычный 9 3 4 3 3 3" xfId="14663"/>
    <cellStyle name="Обычный 9 3 4 3 4" xfId="14664"/>
    <cellStyle name="Обычный 9 3 4 3 5" xfId="14665"/>
    <cellStyle name="Обычный 9 3 4 4" xfId="14666"/>
    <cellStyle name="Обычный 9 3 4 4 2" xfId="14667"/>
    <cellStyle name="Обычный 9 3 4 4 2 2" xfId="14668"/>
    <cellStyle name="Обычный 9 3 4 4 2 2 2" xfId="14669"/>
    <cellStyle name="Обычный 9 3 4 4 2 2 3" xfId="14670"/>
    <cellStyle name="Обычный 9 3 4 4 2 3" xfId="14671"/>
    <cellStyle name="Обычный 9 3 4 4 2 4" xfId="14672"/>
    <cellStyle name="Обычный 9 3 4 4 3" xfId="14673"/>
    <cellStyle name="Обычный 9 3 4 4 3 2" xfId="14674"/>
    <cellStyle name="Обычный 9 3 4 4 3 3" xfId="14675"/>
    <cellStyle name="Обычный 9 3 4 4 4" xfId="14676"/>
    <cellStyle name="Обычный 9 3 4 4 5" xfId="14677"/>
    <cellStyle name="Обычный 9 3 4 5" xfId="14678"/>
    <cellStyle name="Обычный 9 3 4 5 2" xfId="14679"/>
    <cellStyle name="Обычный 9 3 4 5 2 2" xfId="14680"/>
    <cellStyle name="Обычный 9 3 4 5 2 2 2" xfId="14681"/>
    <cellStyle name="Обычный 9 3 4 5 2 2 3" xfId="14682"/>
    <cellStyle name="Обычный 9 3 4 5 2 3" xfId="14683"/>
    <cellStyle name="Обычный 9 3 4 5 2 4" xfId="14684"/>
    <cellStyle name="Обычный 9 3 4 5 3" xfId="14685"/>
    <cellStyle name="Обычный 9 3 4 5 3 2" xfId="14686"/>
    <cellStyle name="Обычный 9 3 4 5 3 3" xfId="14687"/>
    <cellStyle name="Обычный 9 3 4 5 4" xfId="14688"/>
    <cellStyle name="Обычный 9 3 4 5 5" xfId="14689"/>
    <cellStyle name="Обычный 9 3 4 6" xfId="14690"/>
    <cellStyle name="Обычный 9 3 4 6 2" xfId="14691"/>
    <cellStyle name="Обычный 9 3 4 6 2 2" xfId="14692"/>
    <cellStyle name="Обычный 9 3 4 6 2 2 2" xfId="14693"/>
    <cellStyle name="Обычный 9 3 4 6 2 2 3" xfId="14694"/>
    <cellStyle name="Обычный 9 3 4 6 2 3" xfId="14695"/>
    <cellStyle name="Обычный 9 3 4 6 2 4" xfId="14696"/>
    <cellStyle name="Обычный 9 3 4 6 3" xfId="14697"/>
    <cellStyle name="Обычный 9 3 4 6 3 2" xfId="14698"/>
    <cellStyle name="Обычный 9 3 4 6 3 3" xfId="14699"/>
    <cellStyle name="Обычный 9 3 4 6 4" xfId="14700"/>
    <cellStyle name="Обычный 9 3 4 6 5" xfId="14701"/>
    <cellStyle name="Обычный 9 3 4 7" xfId="14702"/>
    <cellStyle name="Обычный 9 3 4 7 2" xfId="14703"/>
    <cellStyle name="Обычный 9 3 4 7 2 2" xfId="14704"/>
    <cellStyle name="Обычный 9 3 4 7 2 3" xfId="14705"/>
    <cellStyle name="Обычный 9 3 4 7 3" xfId="14706"/>
    <cellStyle name="Обычный 9 3 4 7 4" xfId="14707"/>
    <cellStyle name="Обычный 9 3 4 8" xfId="14708"/>
    <cellStyle name="Обычный 9 3 4 8 2" xfId="14709"/>
    <cellStyle name="Обычный 9 3 4 8 3" xfId="14710"/>
    <cellStyle name="Обычный 9 3 4 9" xfId="14711"/>
    <cellStyle name="Обычный 9 3 4_Расчет  30 млн_Технополис  Коренькова" xfId="14712"/>
    <cellStyle name="Обычный 9 3 5" xfId="14713"/>
    <cellStyle name="Обычный 9 3 5 2" xfId="14714"/>
    <cellStyle name="Обычный 9 3 5 2 2" xfId="14715"/>
    <cellStyle name="Обычный 9 3 5 2 2 2" xfId="14716"/>
    <cellStyle name="Обычный 9 3 5 2 2 3" xfId="14717"/>
    <cellStyle name="Обычный 9 3 5 2 3" xfId="14718"/>
    <cellStyle name="Обычный 9 3 5 2 4" xfId="14719"/>
    <cellStyle name="Обычный 9 3 5 3" xfId="14720"/>
    <cellStyle name="Обычный 9 3 5 3 2" xfId="14721"/>
    <cellStyle name="Обычный 9 3 5 3 3" xfId="14722"/>
    <cellStyle name="Обычный 9 3 5 4" xfId="14723"/>
    <cellStyle name="Обычный 9 3 5 5" xfId="14724"/>
    <cellStyle name="Обычный 9 3 6" xfId="14725"/>
    <cellStyle name="Обычный 9 3 6 2" xfId="14726"/>
    <cellStyle name="Обычный 9 3 6 2 2" xfId="14727"/>
    <cellStyle name="Обычный 9 3 6 2 2 2" xfId="14728"/>
    <cellStyle name="Обычный 9 3 6 2 2 3" xfId="14729"/>
    <cellStyle name="Обычный 9 3 6 2 3" xfId="14730"/>
    <cellStyle name="Обычный 9 3 6 2 4" xfId="14731"/>
    <cellStyle name="Обычный 9 3 6 3" xfId="14732"/>
    <cellStyle name="Обычный 9 3 6 3 2" xfId="14733"/>
    <cellStyle name="Обычный 9 3 6 3 3" xfId="14734"/>
    <cellStyle name="Обычный 9 3 6 4" xfId="14735"/>
    <cellStyle name="Обычный 9 3 6 5" xfId="14736"/>
    <cellStyle name="Обычный 9 3 7" xfId="14737"/>
    <cellStyle name="Обычный 9 3 7 2" xfId="14738"/>
    <cellStyle name="Обычный 9 3 7 2 2" xfId="14739"/>
    <cellStyle name="Обычный 9 3 7 2 2 2" xfId="14740"/>
    <cellStyle name="Обычный 9 3 7 2 2 3" xfId="14741"/>
    <cellStyle name="Обычный 9 3 7 2 3" xfId="14742"/>
    <cellStyle name="Обычный 9 3 7 2 4" xfId="14743"/>
    <cellStyle name="Обычный 9 3 7 3" xfId="14744"/>
    <cellStyle name="Обычный 9 3 7 3 2" xfId="14745"/>
    <cellStyle name="Обычный 9 3 7 3 3" xfId="14746"/>
    <cellStyle name="Обычный 9 3 7 4" xfId="14747"/>
    <cellStyle name="Обычный 9 3 7 5" xfId="14748"/>
    <cellStyle name="Обычный 9 3 8" xfId="14749"/>
    <cellStyle name="Обычный 9 3 8 2" xfId="14750"/>
    <cellStyle name="Обычный 9 3 8 2 2" xfId="14751"/>
    <cellStyle name="Обычный 9 3 8 2 2 2" xfId="14752"/>
    <cellStyle name="Обычный 9 3 8 2 2 3" xfId="14753"/>
    <cellStyle name="Обычный 9 3 8 2 3" xfId="14754"/>
    <cellStyle name="Обычный 9 3 8 2 4" xfId="14755"/>
    <cellStyle name="Обычный 9 3 8 3" xfId="14756"/>
    <cellStyle name="Обычный 9 3 8 3 2" xfId="14757"/>
    <cellStyle name="Обычный 9 3 8 3 3" xfId="14758"/>
    <cellStyle name="Обычный 9 3 8 4" xfId="14759"/>
    <cellStyle name="Обычный 9 3 8 5" xfId="14760"/>
    <cellStyle name="Обычный 9 3 9" xfId="14761"/>
    <cellStyle name="Обычный 9 3 9 2" xfId="14762"/>
    <cellStyle name="Обычный 9 3 9 2 2" xfId="14763"/>
    <cellStyle name="Обычный 9 3 9 2 2 2" xfId="14764"/>
    <cellStyle name="Обычный 9 3 9 2 2 3" xfId="14765"/>
    <cellStyle name="Обычный 9 3 9 2 3" xfId="14766"/>
    <cellStyle name="Обычный 9 3 9 2 4" xfId="14767"/>
    <cellStyle name="Обычный 9 3 9 3" xfId="14768"/>
    <cellStyle name="Обычный 9 3 9 3 2" xfId="14769"/>
    <cellStyle name="Обычный 9 3 9 3 3" xfId="14770"/>
    <cellStyle name="Обычный 9 3 9 4" xfId="14771"/>
    <cellStyle name="Обычный 9 3 9 5" xfId="14772"/>
    <cellStyle name="Обычный 9 3_1 ВАР. КП 1 293  +8пропорцЛара" xfId="14773"/>
    <cellStyle name="Обычный 9 4" xfId="14774"/>
    <cellStyle name="Обычный 9 4 10" xfId="14775"/>
    <cellStyle name="Обычный 9 4 10 2" xfId="14776"/>
    <cellStyle name="Обычный 9 4 10 2 2" xfId="14777"/>
    <cellStyle name="Обычный 9 4 10 2 3" xfId="14778"/>
    <cellStyle name="Обычный 9 4 10 3" xfId="14779"/>
    <cellStyle name="Обычный 9 4 10 4" xfId="14780"/>
    <cellStyle name="Обычный 9 4 11" xfId="14781"/>
    <cellStyle name="Обычный 9 4 11 2" xfId="14782"/>
    <cellStyle name="Обычный 9 4 11 3" xfId="14783"/>
    <cellStyle name="Обычный 9 4 12" xfId="14784"/>
    <cellStyle name="Обычный 9 4 13" xfId="14785"/>
    <cellStyle name="Обычный 9 4 2" xfId="14786"/>
    <cellStyle name="Обычный 9 4 2 10" xfId="14787"/>
    <cellStyle name="Обычный 9 4 2 2" xfId="14788"/>
    <cellStyle name="Обычный 9 4 2 2 2" xfId="14789"/>
    <cellStyle name="Обычный 9 4 2 2 2 2" xfId="14790"/>
    <cellStyle name="Обычный 9 4 2 2 2 2 2" xfId="14791"/>
    <cellStyle name="Обычный 9 4 2 2 2 2 3" xfId="14792"/>
    <cellStyle name="Обычный 9 4 2 2 2 3" xfId="14793"/>
    <cellStyle name="Обычный 9 4 2 2 2 4" xfId="14794"/>
    <cellStyle name="Обычный 9 4 2 2 3" xfId="14795"/>
    <cellStyle name="Обычный 9 4 2 2 3 2" xfId="14796"/>
    <cellStyle name="Обычный 9 4 2 2 3 3" xfId="14797"/>
    <cellStyle name="Обычный 9 4 2 2 4" xfId="14798"/>
    <cellStyle name="Обычный 9 4 2 2 5" xfId="14799"/>
    <cellStyle name="Обычный 9 4 2 3" xfId="14800"/>
    <cellStyle name="Обычный 9 4 2 3 2" xfId="14801"/>
    <cellStyle name="Обычный 9 4 2 3 2 2" xfId="14802"/>
    <cellStyle name="Обычный 9 4 2 3 2 2 2" xfId="14803"/>
    <cellStyle name="Обычный 9 4 2 3 2 2 3" xfId="14804"/>
    <cellStyle name="Обычный 9 4 2 3 2 3" xfId="14805"/>
    <cellStyle name="Обычный 9 4 2 3 2 4" xfId="14806"/>
    <cellStyle name="Обычный 9 4 2 3 3" xfId="14807"/>
    <cellStyle name="Обычный 9 4 2 3 3 2" xfId="14808"/>
    <cellStyle name="Обычный 9 4 2 3 3 3" xfId="14809"/>
    <cellStyle name="Обычный 9 4 2 3 4" xfId="14810"/>
    <cellStyle name="Обычный 9 4 2 3 5" xfId="14811"/>
    <cellStyle name="Обычный 9 4 2 4" xfId="14812"/>
    <cellStyle name="Обычный 9 4 2 4 2" xfId="14813"/>
    <cellStyle name="Обычный 9 4 2 4 2 2" xfId="14814"/>
    <cellStyle name="Обычный 9 4 2 4 2 2 2" xfId="14815"/>
    <cellStyle name="Обычный 9 4 2 4 2 2 3" xfId="14816"/>
    <cellStyle name="Обычный 9 4 2 4 2 3" xfId="14817"/>
    <cellStyle name="Обычный 9 4 2 4 2 4" xfId="14818"/>
    <cellStyle name="Обычный 9 4 2 4 3" xfId="14819"/>
    <cellStyle name="Обычный 9 4 2 4 3 2" xfId="14820"/>
    <cellStyle name="Обычный 9 4 2 4 3 3" xfId="14821"/>
    <cellStyle name="Обычный 9 4 2 4 4" xfId="14822"/>
    <cellStyle name="Обычный 9 4 2 4 5" xfId="14823"/>
    <cellStyle name="Обычный 9 4 2 5" xfId="14824"/>
    <cellStyle name="Обычный 9 4 2 5 2" xfId="14825"/>
    <cellStyle name="Обычный 9 4 2 5 2 2" xfId="14826"/>
    <cellStyle name="Обычный 9 4 2 5 2 2 2" xfId="14827"/>
    <cellStyle name="Обычный 9 4 2 5 2 2 3" xfId="14828"/>
    <cellStyle name="Обычный 9 4 2 5 2 3" xfId="14829"/>
    <cellStyle name="Обычный 9 4 2 5 2 4" xfId="14830"/>
    <cellStyle name="Обычный 9 4 2 5 3" xfId="14831"/>
    <cellStyle name="Обычный 9 4 2 5 3 2" xfId="14832"/>
    <cellStyle name="Обычный 9 4 2 5 3 3" xfId="14833"/>
    <cellStyle name="Обычный 9 4 2 5 4" xfId="14834"/>
    <cellStyle name="Обычный 9 4 2 5 5" xfId="14835"/>
    <cellStyle name="Обычный 9 4 2 6" xfId="14836"/>
    <cellStyle name="Обычный 9 4 2 6 2" xfId="14837"/>
    <cellStyle name="Обычный 9 4 2 6 2 2" xfId="14838"/>
    <cellStyle name="Обычный 9 4 2 6 2 2 2" xfId="14839"/>
    <cellStyle name="Обычный 9 4 2 6 2 2 3" xfId="14840"/>
    <cellStyle name="Обычный 9 4 2 6 2 3" xfId="14841"/>
    <cellStyle name="Обычный 9 4 2 6 2 4" xfId="14842"/>
    <cellStyle name="Обычный 9 4 2 6 3" xfId="14843"/>
    <cellStyle name="Обычный 9 4 2 6 3 2" xfId="14844"/>
    <cellStyle name="Обычный 9 4 2 6 3 3" xfId="14845"/>
    <cellStyle name="Обычный 9 4 2 6 4" xfId="14846"/>
    <cellStyle name="Обычный 9 4 2 6 5" xfId="14847"/>
    <cellStyle name="Обычный 9 4 2 7" xfId="14848"/>
    <cellStyle name="Обычный 9 4 2 7 2" xfId="14849"/>
    <cellStyle name="Обычный 9 4 2 7 2 2" xfId="14850"/>
    <cellStyle name="Обычный 9 4 2 7 2 3" xfId="14851"/>
    <cellStyle name="Обычный 9 4 2 7 3" xfId="14852"/>
    <cellStyle name="Обычный 9 4 2 7 4" xfId="14853"/>
    <cellStyle name="Обычный 9 4 2 8" xfId="14854"/>
    <cellStyle name="Обычный 9 4 2 8 2" xfId="14855"/>
    <cellStyle name="Обычный 9 4 2 8 3" xfId="14856"/>
    <cellStyle name="Обычный 9 4 2 9" xfId="14857"/>
    <cellStyle name="Обычный 9 4 2_Расчет  30 млн_Технополис  Коренькова" xfId="14858"/>
    <cellStyle name="Обычный 9 4 3" xfId="14859"/>
    <cellStyle name="Обычный 9 4 3 10" xfId="14860"/>
    <cellStyle name="Обычный 9 4 3 2" xfId="14861"/>
    <cellStyle name="Обычный 9 4 3 2 2" xfId="14862"/>
    <cellStyle name="Обычный 9 4 3 2 2 2" xfId="14863"/>
    <cellStyle name="Обычный 9 4 3 2 2 2 2" xfId="14864"/>
    <cellStyle name="Обычный 9 4 3 2 2 2 3" xfId="14865"/>
    <cellStyle name="Обычный 9 4 3 2 2 3" xfId="14866"/>
    <cellStyle name="Обычный 9 4 3 2 2 4" xfId="14867"/>
    <cellStyle name="Обычный 9 4 3 2 3" xfId="14868"/>
    <cellStyle name="Обычный 9 4 3 2 3 2" xfId="14869"/>
    <cellStyle name="Обычный 9 4 3 2 3 3" xfId="14870"/>
    <cellStyle name="Обычный 9 4 3 2 4" xfId="14871"/>
    <cellStyle name="Обычный 9 4 3 2 5" xfId="14872"/>
    <cellStyle name="Обычный 9 4 3 3" xfId="14873"/>
    <cellStyle name="Обычный 9 4 3 3 2" xfId="14874"/>
    <cellStyle name="Обычный 9 4 3 3 2 2" xfId="14875"/>
    <cellStyle name="Обычный 9 4 3 3 2 2 2" xfId="14876"/>
    <cellStyle name="Обычный 9 4 3 3 2 2 3" xfId="14877"/>
    <cellStyle name="Обычный 9 4 3 3 2 3" xfId="14878"/>
    <cellStyle name="Обычный 9 4 3 3 2 4" xfId="14879"/>
    <cellStyle name="Обычный 9 4 3 3 3" xfId="14880"/>
    <cellStyle name="Обычный 9 4 3 3 3 2" xfId="14881"/>
    <cellStyle name="Обычный 9 4 3 3 3 3" xfId="14882"/>
    <cellStyle name="Обычный 9 4 3 3 4" xfId="14883"/>
    <cellStyle name="Обычный 9 4 3 3 5" xfId="14884"/>
    <cellStyle name="Обычный 9 4 3 4" xfId="14885"/>
    <cellStyle name="Обычный 9 4 3 4 2" xfId="14886"/>
    <cellStyle name="Обычный 9 4 3 4 2 2" xfId="14887"/>
    <cellStyle name="Обычный 9 4 3 4 2 2 2" xfId="14888"/>
    <cellStyle name="Обычный 9 4 3 4 2 2 3" xfId="14889"/>
    <cellStyle name="Обычный 9 4 3 4 2 3" xfId="14890"/>
    <cellStyle name="Обычный 9 4 3 4 2 4" xfId="14891"/>
    <cellStyle name="Обычный 9 4 3 4 3" xfId="14892"/>
    <cellStyle name="Обычный 9 4 3 4 3 2" xfId="14893"/>
    <cellStyle name="Обычный 9 4 3 4 3 3" xfId="14894"/>
    <cellStyle name="Обычный 9 4 3 4 4" xfId="14895"/>
    <cellStyle name="Обычный 9 4 3 4 5" xfId="14896"/>
    <cellStyle name="Обычный 9 4 3 5" xfId="14897"/>
    <cellStyle name="Обычный 9 4 3 5 2" xfId="14898"/>
    <cellStyle name="Обычный 9 4 3 5 2 2" xfId="14899"/>
    <cellStyle name="Обычный 9 4 3 5 2 2 2" xfId="14900"/>
    <cellStyle name="Обычный 9 4 3 5 2 2 3" xfId="14901"/>
    <cellStyle name="Обычный 9 4 3 5 2 3" xfId="14902"/>
    <cellStyle name="Обычный 9 4 3 5 2 4" xfId="14903"/>
    <cellStyle name="Обычный 9 4 3 5 3" xfId="14904"/>
    <cellStyle name="Обычный 9 4 3 5 3 2" xfId="14905"/>
    <cellStyle name="Обычный 9 4 3 5 3 3" xfId="14906"/>
    <cellStyle name="Обычный 9 4 3 5 4" xfId="14907"/>
    <cellStyle name="Обычный 9 4 3 5 5" xfId="14908"/>
    <cellStyle name="Обычный 9 4 3 6" xfId="14909"/>
    <cellStyle name="Обычный 9 4 3 6 2" xfId="14910"/>
    <cellStyle name="Обычный 9 4 3 6 2 2" xfId="14911"/>
    <cellStyle name="Обычный 9 4 3 6 2 2 2" xfId="14912"/>
    <cellStyle name="Обычный 9 4 3 6 2 2 3" xfId="14913"/>
    <cellStyle name="Обычный 9 4 3 6 2 3" xfId="14914"/>
    <cellStyle name="Обычный 9 4 3 6 2 4" xfId="14915"/>
    <cellStyle name="Обычный 9 4 3 6 3" xfId="14916"/>
    <cellStyle name="Обычный 9 4 3 6 3 2" xfId="14917"/>
    <cellStyle name="Обычный 9 4 3 6 3 3" xfId="14918"/>
    <cellStyle name="Обычный 9 4 3 6 4" xfId="14919"/>
    <cellStyle name="Обычный 9 4 3 6 5" xfId="14920"/>
    <cellStyle name="Обычный 9 4 3 7" xfId="14921"/>
    <cellStyle name="Обычный 9 4 3 7 2" xfId="14922"/>
    <cellStyle name="Обычный 9 4 3 7 2 2" xfId="14923"/>
    <cellStyle name="Обычный 9 4 3 7 2 3" xfId="14924"/>
    <cellStyle name="Обычный 9 4 3 7 3" xfId="14925"/>
    <cellStyle name="Обычный 9 4 3 7 4" xfId="14926"/>
    <cellStyle name="Обычный 9 4 3 8" xfId="14927"/>
    <cellStyle name="Обычный 9 4 3 8 2" xfId="14928"/>
    <cellStyle name="Обычный 9 4 3 8 3" xfId="14929"/>
    <cellStyle name="Обычный 9 4 3 9" xfId="14930"/>
    <cellStyle name="Обычный 9 4 3_Расчет  30 млн_Технополис  Коренькова" xfId="14931"/>
    <cellStyle name="Обычный 9 4 4" xfId="14932"/>
    <cellStyle name="Обычный 9 4 4 10" xfId="14933"/>
    <cellStyle name="Обычный 9 4 4 2" xfId="14934"/>
    <cellStyle name="Обычный 9 4 4 2 2" xfId="14935"/>
    <cellStyle name="Обычный 9 4 4 2 2 2" xfId="14936"/>
    <cellStyle name="Обычный 9 4 4 2 2 2 2" xfId="14937"/>
    <cellStyle name="Обычный 9 4 4 2 2 2 3" xfId="14938"/>
    <cellStyle name="Обычный 9 4 4 2 2 3" xfId="14939"/>
    <cellStyle name="Обычный 9 4 4 2 2 4" xfId="14940"/>
    <cellStyle name="Обычный 9 4 4 2 3" xfId="14941"/>
    <cellStyle name="Обычный 9 4 4 2 3 2" xfId="14942"/>
    <cellStyle name="Обычный 9 4 4 2 3 3" xfId="14943"/>
    <cellStyle name="Обычный 9 4 4 2 4" xfId="14944"/>
    <cellStyle name="Обычный 9 4 4 2 5" xfId="14945"/>
    <cellStyle name="Обычный 9 4 4 3" xfId="14946"/>
    <cellStyle name="Обычный 9 4 4 3 2" xfId="14947"/>
    <cellStyle name="Обычный 9 4 4 3 2 2" xfId="14948"/>
    <cellStyle name="Обычный 9 4 4 3 2 2 2" xfId="14949"/>
    <cellStyle name="Обычный 9 4 4 3 2 2 3" xfId="14950"/>
    <cellStyle name="Обычный 9 4 4 3 2 3" xfId="14951"/>
    <cellStyle name="Обычный 9 4 4 3 2 4" xfId="14952"/>
    <cellStyle name="Обычный 9 4 4 3 3" xfId="14953"/>
    <cellStyle name="Обычный 9 4 4 3 3 2" xfId="14954"/>
    <cellStyle name="Обычный 9 4 4 3 3 3" xfId="14955"/>
    <cellStyle name="Обычный 9 4 4 3 4" xfId="14956"/>
    <cellStyle name="Обычный 9 4 4 3 5" xfId="14957"/>
    <cellStyle name="Обычный 9 4 4 4" xfId="14958"/>
    <cellStyle name="Обычный 9 4 4 4 2" xfId="14959"/>
    <cellStyle name="Обычный 9 4 4 4 2 2" xfId="14960"/>
    <cellStyle name="Обычный 9 4 4 4 2 2 2" xfId="14961"/>
    <cellStyle name="Обычный 9 4 4 4 2 2 3" xfId="14962"/>
    <cellStyle name="Обычный 9 4 4 4 2 3" xfId="14963"/>
    <cellStyle name="Обычный 9 4 4 4 2 4" xfId="14964"/>
    <cellStyle name="Обычный 9 4 4 4 3" xfId="14965"/>
    <cellStyle name="Обычный 9 4 4 4 3 2" xfId="14966"/>
    <cellStyle name="Обычный 9 4 4 4 3 3" xfId="14967"/>
    <cellStyle name="Обычный 9 4 4 4 4" xfId="14968"/>
    <cellStyle name="Обычный 9 4 4 4 5" xfId="14969"/>
    <cellStyle name="Обычный 9 4 4 5" xfId="14970"/>
    <cellStyle name="Обычный 9 4 4 5 2" xfId="14971"/>
    <cellStyle name="Обычный 9 4 4 5 2 2" xfId="14972"/>
    <cellStyle name="Обычный 9 4 4 5 2 2 2" xfId="14973"/>
    <cellStyle name="Обычный 9 4 4 5 2 2 3" xfId="14974"/>
    <cellStyle name="Обычный 9 4 4 5 2 3" xfId="14975"/>
    <cellStyle name="Обычный 9 4 4 5 2 4" xfId="14976"/>
    <cellStyle name="Обычный 9 4 4 5 3" xfId="14977"/>
    <cellStyle name="Обычный 9 4 4 5 3 2" xfId="14978"/>
    <cellStyle name="Обычный 9 4 4 5 3 3" xfId="14979"/>
    <cellStyle name="Обычный 9 4 4 5 4" xfId="14980"/>
    <cellStyle name="Обычный 9 4 4 5 5" xfId="14981"/>
    <cellStyle name="Обычный 9 4 4 6" xfId="14982"/>
    <cellStyle name="Обычный 9 4 4 6 2" xfId="14983"/>
    <cellStyle name="Обычный 9 4 4 6 2 2" xfId="14984"/>
    <cellStyle name="Обычный 9 4 4 6 2 2 2" xfId="14985"/>
    <cellStyle name="Обычный 9 4 4 6 2 2 3" xfId="14986"/>
    <cellStyle name="Обычный 9 4 4 6 2 3" xfId="14987"/>
    <cellStyle name="Обычный 9 4 4 6 2 4" xfId="14988"/>
    <cellStyle name="Обычный 9 4 4 6 3" xfId="14989"/>
    <cellStyle name="Обычный 9 4 4 6 3 2" xfId="14990"/>
    <cellStyle name="Обычный 9 4 4 6 3 3" xfId="14991"/>
    <cellStyle name="Обычный 9 4 4 6 4" xfId="14992"/>
    <cellStyle name="Обычный 9 4 4 6 5" xfId="14993"/>
    <cellStyle name="Обычный 9 4 4 7" xfId="14994"/>
    <cellStyle name="Обычный 9 4 4 7 2" xfId="14995"/>
    <cellStyle name="Обычный 9 4 4 7 2 2" xfId="14996"/>
    <cellStyle name="Обычный 9 4 4 7 2 3" xfId="14997"/>
    <cellStyle name="Обычный 9 4 4 7 3" xfId="14998"/>
    <cellStyle name="Обычный 9 4 4 7 4" xfId="14999"/>
    <cellStyle name="Обычный 9 4 4 8" xfId="15000"/>
    <cellStyle name="Обычный 9 4 4 8 2" xfId="15001"/>
    <cellStyle name="Обычный 9 4 4 8 3" xfId="15002"/>
    <cellStyle name="Обычный 9 4 4 9" xfId="15003"/>
    <cellStyle name="Обычный 9 4 4_Расчет  30 млн_Технополис  Коренькова" xfId="15004"/>
    <cellStyle name="Обычный 9 4 5" xfId="15005"/>
    <cellStyle name="Обычный 9 4 5 2" xfId="15006"/>
    <cellStyle name="Обычный 9 4 5 2 2" xfId="15007"/>
    <cellStyle name="Обычный 9 4 5 2 2 2" xfId="15008"/>
    <cellStyle name="Обычный 9 4 5 2 2 3" xfId="15009"/>
    <cellStyle name="Обычный 9 4 5 2 3" xfId="15010"/>
    <cellStyle name="Обычный 9 4 5 2 4" xfId="15011"/>
    <cellStyle name="Обычный 9 4 5 3" xfId="15012"/>
    <cellStyle name="Обычный 9 4 5 3 2" xfId="15013"/>
    <cellStyle name="Обычный 9 4 5 3 3" xfId="15014"/>
    <cellStyle name="Обычный 9 4 5 4" xfId="15015"/>
    <cellStyle name="Обычный 9 4 5 5" xfId="15016"/>
    <cellStyle name="Обычный 9 4 6" xfId="15017"/>
    <cellStyle name="Обычный 9 4 6 2" xfId="15018"/>
    <cellStyle name="Обычный 9 4 6 2 2" xfId="15019"/>
    <cellStyle name="Обычный 9 4 6 2 2 2" xfId="15020"/>
    <cellStyle name="Обычный 9 4 6 2 2 3" xfId="15021"/>
    <cellStyle name="Обычный 9 4 6 2 3" xfId="15022"/>
    <cellStyle name="Обычный 9 4 6 2 4" xfId="15023"/>
    <cellStyle name="Обычный 9 4 6 3" xfId="15024"/>
    <cellStyle name="Обычный 9 4 6 3 2" xfId="15025"/>
    <cellStyle name="Обычный 9 4 6 3 3" xfId="15026"/>
    <cellStyle name="Обычный 9 4 6 4" xfId="15027"/>
    <cellStyle name="Обычный 9 4 6 5" xfId="15028"/>
    <cellStyle name="Обычный 9 4 7" xfId="15029"/>
    <cellStyle name="Обычный 9 4 7 2" xfId="15030"/>
    <cellStyle name="Обычный 9 4 7 2 2" xfId="15031"/>
    <cellStyle name="Обычный 9 4 7 2 2 2" xfId="15032"/>
    <cellStyle name="Обычный 9 4 7 2 2 3" xfId="15033"/>
    <cellStyle name="Обычный 9 4 7 2 3" xfId="15034"/>
    <cellStyle name="Обычный 9 4 7 2 4" xfId="15035"/>
    <cellStyle name="Обычный 9 4 7 3" xfId="15036"/>
    <cellStyle name="Обычный 9 4 7 3 2" xfId="15037"/>
    <cellStyle name="Обычный 9 4 7 3 3" xfId="15038"/>
    <cellStyle name="Обычный 9 4 7 4" xfId="15039"/>
    <cellStyle name="Обычный 9 4 7 5" xfId="15040"/>
    <cellStyle name="Обычный 9 4 8" xfId="15041"/>
    <cellStyle name="Обычный 9 4 8 2" xfId="15042"/>
    <cellStyle name="Обычный 9 4 8 2 2" xfId="15043"/>
    <cellStyle name="Обычный 9 4 8 2 2 2" xfId="15044"/>
    <cellStyle name="Обычный 9 4 8 2 2 3" xfId="15045"/>
    <cellStyle name="Обычный 9 4 8 2 3" xfId="15046"/>
    <cellStyle name="Обычный 9 4 8 2 4" xfId="15047"/>
    <cellStyle name="Обычный 9 4 8 3" xfId="15048"/>
    <cellStyle name="Обычный 9 4 8 3 2" xfId="15049"/>
    <cellStyle name="Обычный 9 4 8 3 3" xfId="15050"/>
    <cellStyle name="Обычный 9 4 8 4" xfId="15051"/>
    <cellStyle name="Обычный 9 4 8 5" xfId="15052"/>
    <cellStyle name="Обычный 9 4 9" xfId="15053"/>
    <cellStyle name="Обычный 9 4 9 2" xfId="15054"/>
    <cellStyle name="Обычный 9 4 9 2 2" xfId="15055"/>
    <cellStyle name="Обычный 9 4 9 2 2 2" xfId="15056"/>
    <cellStyle name="Обычный 9 4 9 2 2 3" xfId="15057"/>
    <cellStyle name="Обычный 9 4 9 2 3" xfId="15058"/>
    <cellStyle name="Обычный 9 4 9 2 4" xfId="15059"/>
    <cellStyle name="Обычный 9 4 9 3" xfId="15060"/>
    <cellStyle name="Обычный 9 4 9 3 2" xfId="15061"/>
    <cellStyle name="Обычный 9 4 9 3 3" xfId="15062"/>
    <cellStyle name="Обычный 9 4 9 4" xfId="15063"/>
    <cellStyle name="Обычный 9 4 9 5" xfId="15064"/>
    <cellStyle name="Обычный 9 4_1 ВАР. КП 1 293  +8пропорцЛара" xfId="15065"/>
    <cellStyle name="Обычный 9 5" xfId="15066"/>
    <cellStyle name="Обычный 9 5 10" xfId="15067"/>
    <cellStyle name="Обычный 9 5 2" xfId="15068"/>
    <cellStyle name="Обычный 9 5 2 2" xfId="15069"/>
    <cellStyle name="Обычный 9 5 2 2 2" xfId="15070"/>
    <cellStyle name="Обычный 9 5 2 2 2 2" xfId="15071"/>
    <cellStyle name="Обычный 9 5 2 2 2 3" xfId="15072"/>
    <cellStyle name="Обычный 9 5 2 2 3" xfId="15073"/>
    <cellStyle name="Обычный 9 5 2 2 4" xfId="15074"/>
    <cellStyle name="Обычный 9 5 2 3" xfId="15075"/>
    <cellStyle name="Обычный 9 5 2 3 2" xfId="15076"/>
    <cellStyle name="Обычный 9 5 2 3 3" xfId="15077"/>
    <cellStyle name="Обычный 9 5 2 4" xfId="15078"/>
    <cellStyle name="Обычный 9 5 2 5" xfId="15079"/>
    <cellStyle name="Обычный 9 5 3" xfId="15080"/>
    <cellStyle name="Обычный 9 5 3 2" xfId="15081"/>
    <cellStyle name="Обычный 9 5 3 2 2" xfId="15082"/>
    <cellStyle name="Обычный 9 5 3 2 2 2" xfId="15083"/>
    <cellStyle name="Обычный 9 5 3 2 2 3" xfId="15084"/>
    <cellStyle name="Обычный 9 5 3 2 3" xfId="15085"/>
    <cellStyle name="Обычный 9 5 3 2 4" xfId="15086"/>
    <cellStyle name="Обычный 9 5 3 3" xfId="15087"/>
    <cellStyle name="Обычный 9 5 3 3 2" xfId="15088"/>
    <cellStyle name="Обычный 9 5 3 3 3" xfId="15089"/>
    <cellStyle name="Обычный 9 5 3 4" xfId="15090"/>
    <cellStyle name="Обычный 9 5 3 5" xfId="15091"/>
    <cellStyle name="Обычный 9 5 4" xfId="15092"/>
    <cellStyle name="Обычный 9 5 4 2" xfId="15093"/>
    <cellStyle name="Обычный 9 5 4 2 2" xfId="15094"/>
    <cellStyle name="Обычный 9 5 4 2 2 2" xfId="15095"/>
    <cellStyle name="Обычный 9 5 4 2 2 3" xfId="15096"/>
    <cellStyle name="Обычный 9 5 4 2 3" xfId="15097"/>
    <cellStyle name="Обычный 9 5 4 2 4" xfId="15098"/>
    <cellStyle name="Обычный 9 5 4 3" xfId="15099"/>
    <cellStyle name="Обычный 9 5 4 3 2" xfId="15100"/>
    <cellStyle name="Обычный 9 5 4 3 3" xfId="15101"/>
    <cellStyle name="Обычный 9 5 4 4" xfId="15102"/>
    <cellStyle name="Обычный 9 5 4 5" xfId="15103"/>
    <cellStyle name="Обычный 9 5 5" xfId="15104"/>
    <cellStyle name="Обычный 9 5 5 2" xfId="15105"/>
    <cellStyle name="Обычный 9 5 5 2 2" xfId="15106"/>
    <cellStyle name="Обычный 9 5 5 2 2 2" xfId="15107"/>
    <cellStyle name="Обычный 9 5 5 2 2 3" xfId="15108"/>
    <cellStyle name="Обычный 9 5 5 2 3" xfId="15109"/>
    <cellStyle name="Обычный 9 5 5 2 4" xfId="15110"/>
    <cellStyle name="Обычный 9 5 5 3" xfId="15111"/>
    <cellStyle name="Обычный 9 5 5 3 2" xfId="15112"/>
    <cellStyle name="Обычный 9 5 5 3 3" xfId="15113"/>
    <cellStyle name="Обычный 9 5 5 4" xfId="15114"/>
    <cellStyle name="Обычный 9 5 5 5" xfId="15115"/>
    <cellStyle name="Обычный 9 5 6" xfId="15116"/>
    <cellStyle name="Обычный 9 5 6 2" xfId="15117"/>
    <cellStyle name="Обычный 9 5 6 2 2" xfId="15118"/>
    <cellStyle name="Обычный 9 5 6 2 2 2" xfId="15119"/>
    <cellStyle name="Обычный 9 5 6 2 2 3" xfId="15120"/>
    <cellStyle name="Обычный 9 5 6 2 3" xfId="15121"/>
    <cellStyle name="Обычный 9 5 6 2 4" xfId="15122"/>
    <cellStyle name="Обычный 9 5 6 3" xfId="15123"/>
    <cellStyle name="Обычный 9 5 6 3 2" xfId="15124"/>
    <cellStyle name="Обычный 9 5 6 3 3" xfId="15125"/>
    <cellStyle name="Обычный 9 5 6 4" xfId="15126"/>
    <cellStyle name="Обычный 9 5 6 5" xfId="15127"/>
    <cellStyle name="Обычный 9 5 7" xfId="15128"/>
    <cellStyle name="Обычный 9 5 7 2" xfId="15129"/>
    <cellStyle name="Обычный 9 5 7 2 2" xfId="15130"/>
    <cellStyle name="Обычный 9 5 7 2 3" xfId="15131"/>
    <cellStyle name="Обычный 9 5 7 3" xfId="15132"/>
    <cellStyle name="Обычный 9 5 7 4" xfId="15133"/>
    <cellStyle name="Обычный 9 5 8" xfId="15134"/>
    <cellStyle name="Обычный 9 5 8 2" xfId="15135"/>
    <cellStyle name="Обычный 9 5 8 3" xfId="15136"/>
    <cellStyle name="Обычный 9 5 9" xfId="15137"/>
    <cellStyle name="Обычный 9 5_Расчет  30 млн_Технополис  Коренькова" xfId="15138"/>
    <cellStyle name="Обычный 9 6" xfId="15139"/>
    <cellStyle name="Обычный 9 6 10" xfId="15140"/>
    <cellStyle name="Обычный 9 6 2" xfId="15141"/>
    <cellStyle name="Обычный 9 6 2 2" xfId="15142"/>
    <cellStyle name="Обычный 9 6 2 2 2" xfId="15143"/>
    <cellStyle name="Обычный 9 6 2 2 2 2" xfId="15144"/>
    <cellStyle name="Обычный 9 6 2 2 2 3" xfId="15145"/>
    <cellStyle name="Обычный 9 6 2 2 3" xfId="15146"/>
    <cellStyle name="Обычный 9 6 2 2 4" xfId="15147"/>
    <cellStyle name="Обычный 9 6 2 3" xfId="15148"/>
    <cellStyle name="Обычный 9 6 2 3 2" xfId="15149"/>
    <cellStyle name="Обычный 9 6 2 3 3" xfId="15150"/>
    <cellStyle name="Обычный 9 6 2 4" xfId="15151"/>
    <cellStyle name="Обычный 9 6 2 5" xfId="15152"/>
    <cellStyle name="Обычный 9 6 3" xfId="15153"/>
    <cellStyle name="Обычный 9 6 3 2" xfId="15154"/>
    <cellStyle name="Обычный 9 6 3 2 2" xfId="15155"/>
    <cellStyle name="Обычный 9 6 3 2 2 2" xfId="15156"/>
    <cellStyle name="Обычный 9 6 3 2 2 3" xfId="15157"/>
    <cellStyle name="Обычный 9 6 3 2 3" xfId="15158"/>
    <cellStyle name="Обычный 9 6 3 2 4" xfId="15159"/>
    <cellStyle name="Обычный 9 6 3 3" xfId="15160"/>
    <cellStyle name="Обычный 9 6 3 3 2" xfId="15161"/>
    <cellStyle name="Обычный 9 6 3 3 3" xfId="15162"/>
    <cellStyle name="Обычный 9 6 3 4" xfId="15163"/>
    <cellStyle name="Обычный 9 6 3 5" xfId="15164"/>
    <cellStyle name="Обычный 9 6 4" xfId="15165"/>
    <cellStyle name="Обычный 9 6 4 2" xfId="15166"/>
    <cellStyle name="Обычный 9 6 4 2 2" xfId="15167"/>
    <cellStyle name="Обычный 9 6 4 2 2 2" xfId="15168"/>
    <cellStyle name="Обычный 9 6 4 2 2 3" xfId="15169"/>
    <cellStyle name="Обычный 9 6 4 2 3" xfId="15170"/>
    <cellStyle name="Обычный 9 6 4 2 4" xfId="15171"/>
    <cellStyle name="Обычный 9 6 4 3" xfId="15172"/>
    <cellStyle name="Обычный 9 6 4 3 2" xfId="15173"/>
    <cellStyle name="Обычный 9 6 4 3 3" xfId="15174"/>
    <cellStyle name="Обычный 9 6 4 4" xfId="15175"/>
    <cellStyle name="Обычный 9 6 4 5" xfId="15176"/>
    <cellStyle name="Обычный 9 6 5" xfId="15177"/>
    <cellStyle name="Обычный 9 6 5 2" xfId="15178"/>
    <cellStyle name="Обычный 9 6 5 2 2" xfId="15179"/>
    <cellStyle name="Обычный 9 6 5 2 2 2" xfId="15180"/>
    <cellStyle name="Обычный 9 6 5 2 2 3" xfId="15181"/>
    <cellStyle name="Обычный 9 6 5 2 3" xfId="15182"/>
    <cellStyle name="Обычный 9 6 5 2 4" xfId="15183"/>
    <cellStyle name="Обычный 9 6 5 3" xfId="15184"/>
    <cellStyle name="Обычный 9 6 5 3 2" xfId="15185"/>
    <cellStyle name="Обычный 9 6 5 3 3" xfId="15186"/>
    <cellStyle name="Обычный 9 6 5 4" xfId="15187"/>
    <cellStyle name="Обычный 9 6 5 5" xfId="15188"/>
    <cellStyle name="Обычный 9 6 6" xfId="15189"/>
    <cellStyle name="Обычный 9 6 6 2" xfId="15190"/>
    <cellStyle name="Обычный 9 6 6 2 2" xfId="15191"/>
    <cellStyle name="Обычный 9 6 6 2 2 2" xfId="15192"/>
    <cellStyle name="Обычный 9 6 6 2 2 3" xfId="15193"/>
    <cellStyle name="Обычный 9 6 6 2 3" xfId="15194"/>
    <cellStyle name="Обычный 9 6 6 2 4" xfId="15195"/>
    <cellStyle name="Обычный 9 6 6 3" xfId="15196"/>
    <cellStyle name="Обычный 9 6 6 3 2" xfId="15197"/>
    <cellStyle name="Обычный 9 6 6 3 3" xfId="15198"/>
    <cellStyle name="Обычный 9 6 6 4" xfId="15199"/>
    <cellStyle name="Обычный 9 6 6 5" xfId="15200"/>
    <cellStyle name="Обычный 9 6 7" xfId="15201"/>
    <cellStyle name="Обычный 9 6 7 2" xfId="15202"/>
    <cellStyle name="Обычный 9 6 7 2 2" xfId="15203"/>
    <cellStyle name="Обычный 9 6 7 2 3" xfId="15204"/>
    <cellStyle name="Обычный 9 6 7 3" xfId="15205"/>
    <cellStyle name="Обычный 9 6 7 4" xfId="15206"/>
    <cellStyle name="Обычный 9 6 8" xfId="15207"/>
    <cellStyle name="Обычный 9 6 8 2" xfId="15208"/>
    <cellStyle name="Обычный 9 6 8 3" xfId="15209"/>
    <cellStyle name="Обычный 9 6 9" xfId="15210"/>
    <cellStyle name="Обычный 9 6_Расчет  30 млн_Технополис  Коренькова" xfId="15211"/>
    <cellStyle name="Обычный 9 7" xfId="15212"/>
    <cellStyle name="Обычный 9 7 10" xfId="15213"/>
    <cellStyle name="Обычный 9 7 2" xfId="15214"/>
    <cellStyle name="Обычный 9 7 2 2" xfId="15215"/>
    <cellStyle name="Обычный 9 7 2 2 2" xfId="15216"/>
    <cellStyle name="Обычный 9 7 2 2 2 2" xfId="15217"/>
    <cellStyle name="Обычный 9 7 2 2 2 3" xfId="15218"/>
    <cellStyle name="Обычный 9 7 2 2 3" xfId="15219"/>
    <cellStyle name="Обычный 9 7 2 2 4" xfId="15220"/>
    <cellStyle name="Обычный 9 7 2 3" xfId="15221"/>
    <cellStyle name="Обычный 9 7 2 3 2" xfId="15222"/>
    <cellStyle name="Обычный 9 7 2 3 3" xfId="15223"/>
    <cellStyle name="Обычный 9 7 2 4" xfId="15224"/>
    <cellStyle name="Обычный 9 7 2 5" xfId="15225"/>
    <cellStyle name="Обычный 9 7 3" xfId="15226"/>
    <cellStyle name="Обычный 9 7 3 2" xfId="15227"/>
    <cellStyle name="Обычный 9 7 3 2 2" xfId="15228"/>
    <cellStyle name="Обычный 9 7 3 2 2 2" xfId="15229"/>
    <cellStyle name="Обычный 9 7 3 2 2 3" xfId="15230"/>
    <cellStyle name="Обычный 9 7 3 2 3" xfId="15231"/>
    <cellStyle name="Обычный 9 7 3 2 4" xfId="15232"/>
    <cellStyle name="Обычный 9 7 3 3" xfId="15233"/>
    <cellStyle name="Обычный 9 7 3 3 2" xfId="15234"/>
    <cellStyle name="Обычный 9 7 3 3 3" xfId="15235"/>
    <cellStyle name="Обычный 9 7 3 4" xfId="15236"/>
    <cellStyle name="Обычный 9 7 3 5" xfId="15237"/>
    <cellStyle name="Обычный 9 7 4" xfId="15238"/>
    <cellStyle name="Обычный 9 7 4 2" xfId="15239"/>
    <cellStyle name="Обычный 9 7 4 2 2" xfId="15240"/>
    <cellStyle name="Обычный 9 7 4 2 2 2" xfId="15241"/>
    <cellStyle name="Обычный 9 7 4 2 2 3" xfId="15242"/>
    <cellStyle name="Обычный 9 7 4 2 3" xfId="15243"/>
    <cellStyle name="Обычный 9 7 4 2 4" xfId="15244"/>
    <cellStyle name="Обычный 9 7 4 3" xfId="15245"/>
    <cellStyle name="Обычный 9 7 4 3 2" xfId="15246"/>
    <cellStyle name="Обычный 9 7 4 3 3" xfId="15247"/>
    <cellStyle name="Обычный 9 7 4 4" xfId="15248"/>
    <cellStyle name="Обычный 9 7 4 5" xfId="15249"/>
    <cellStyle name="Обычный 9 7 5" xfId="15250"/>
    <cellStyle name="Обычный 9 7 5 2" xfId="15251"/>
    <cellStyle name="Обычный 9 7 5 2 2" xfId="15252"/>
    <cellStyle name="Обычный 9 7 5 2 2 2" xfId="15253"/>
    <cellStyle name="Обычный 9 7 5 2 2 3" xfId="15254"/>
    <cellStyle name="Обычный 9 7 5 2 3" xfId="15255"/>
    <cellStyle name="Обычный 9 7 5 2 4" xfId="15256"/>
    <cellStyle name="Обычный 9 7 5 3" xfId="15257"/>
    <cellStyle name="Обычный 9 7 5 3 2" xfId="15258"/>
    <cellStyle name="Обычный 9 7 5 3 3" xfId="15259"/>
    <cellStyle name="Обычный 9 7 5 4" xfId="15260"/>
    <cellStyle name="Обычный 9 7 5 5" xfId="15261"/>
    <cellStyle name="Обычный 9 7 6" xfId="15262"/>
    <cellStyle name="Обычный 9 7 6 2" xfId="15263"/>
    <cellStyle name="Обычный 9 7 6 2 2" xfId="15264"/>
    <cellStyle name="Обычный 9 7 6 2 2 2" xfId="15265"/>
    <cellStyle name="Обычный 9 7 6 2 2 3" xfId="15266"/>
    <cellStyle name="Обычный 9 7 6 2 3" xfId="15267"/>
    <cellStyle name="Обычный 9 7 6 2 4" xfId="15268"/>
    <cellStyle name="Обычный 9 7 6 3" xfId="15269"/>
    <cellStyle name="Обычный 9 7 6 3 2" xfId="15270"/>
    <cellStyle name="Обычный 9 7 6 3 3" xfId="15271"/>
    <cellStyle name="Обычный 9 7 6 4" xfId="15272"/>
    <cellStyle name="Обычный 9 7 6 5" xfId="15273"/>
    <cellStyle name="Обычный 9 7 7" xfId="15274"/>
    <cellStyle name="Обычный 9 7 7 2" xfId="15275"/>
    <cellStyle name="Обычный 9 7 7 2 2" xfId="15276"/>
    <cellStyle name="Обычный 9 7 7 2 3" xfId="15277"/>
    <cellStyle name="Обычный 9 7 7 3" xfId="15278"/>
    <cellStyle name="Обычный 9 7 7 4" xfId="15279"/>
    <cellStyle name="Обычный 9 7 8" xfId="15280"/>
    <cellStyle name="Обычный 9 7 8 2" xfId="15281"/>
    <cellStyle name="Обычный 9 7 8 3" xfId="15282"/>
    <cellStyle name="Обычный 9 7 9" xfId="15283"/>
    <cellStyle name="Обычный 9 7_Расчет  30 млн_Технополис  Коренькова" xfId="15284"/>
    <cellStyle name="Обычный 9 8" xfId="15285"/>
    <cellStyle name="Обычный 9 8 10" xfId="15286"/>
    <cellStyle name="Обычный 9 8 2" xfId="15287"/>
    <cellStyle name="Обычный 9 8 2 2" xfId="15288"/>
    <cellStyle name="Обычный 9 8 2 2 2" xfId="15289"/>
    <cellStyle name="Обычный 9 8 2 2 2 2" xfId="15290"/>
    <cellStyle name="Обычный 9 8 2 2 2 3" xfId="15291"/>
    <cellStyle name="Обычный 9 8 2 2 3" xfId="15292"/>
    <cellStyle name="Обычный 9 8 2 2 4" xfId="15293"/>
    <cellStyle name="Обычный 9 8 2 3" xfId="15294"/>
    <cellStyle name="Обычный 9 8 2 3 2" xfId="15295"/>
    <cellStyle name="Обычный 9 8 2 3 3" xfId="15296"/>
    <cellStyle name="Обычный 9 8 2 4" xfId="15297"/>
    <cellStyle name="Обычный 9 8 2 5" xfId="15298"/>
    <cellStyle name="Обычный 9 8 3" xfId="15299"/>
    <cellStyle name="Обычный 9 8 3 2" xfId="15300"/>
    <cellStyle name="Обычный 9 8 3 2 2" xfId="15301"/>
    <cellStyle name="Обычный 9 8 3 2 2 2" xfId="15302"/>
    <cellStyle name="Обычный 9 8 3 2 2 3" xfId="15303"/>
    <cellStyle name="Обычный 9 8 3 2 3" xfId="15304"/>
    <cellStyle name="Обычный 9 8 3 2 4" xfId="15305"/>
    <cellStyle name="Обычный 9 8 3 3" xfId="15306"/>
    <cellStyle name="Обычный 9 8 3 3 2" xfId="15307"/>
    <cellStyle name="Обычный 9 8 3 3 3" xfId="15308"/>
    <cellStyle name="Обычный 9 8 3 4" xfId="15309"/>
    <cellStyle name="Обычный 9 8 3 5" xfId="15310"/>
    <cellStyle name="Обычный 9 8 4" xfId="15311"/>
    <cellStyle name="Обычный 9 8 4 2" xfId="15312"/>
    <cellStyle name="Обычный 9 8 4 2 2" xfId="15313"/>
    <cellStyle name="Обычный 9 8 4 2 2 2" xfId="15314"/>
    <cellStyle name="Обычный 9 8 4 2 2 3" xfId="15315"/>
    <cellStyle name="Обычный 9 8 4 2 3" xfId="15316"/>
    <cellStyle name="Обычный 9 8 4 2 4" xfId="15317"/>
    <cellStyle name="Обычный 9 8 4 3" xfId="15318"/>
    <cellStyle name="Обычный 9 8 4 3 2" xfId="15319"/>
    <cellStyle name="Обычный 9 8 4 3 3" xfId="15320"/>
    <cellStyle name="Обычный 9 8 4 4" xfId="15321"/>
    <cellStyle name="Обычный 9 8 4 5" xfId="15322"/>
    <cellStyle name="Обычный 9 8 5" xfId="15323"/>
    <cellStyle name="Обычный 9 8 5 2" xfId="15324"/>
    <cellStyle name="Обычный 9 8 5 2 2" xfId="15325"/>
    <cellStyle name="Обычный 9 8 5 2 2 2" xfId="15326"/>
    <cellStyle name="Обычный 9 8 5 2 2 3" xfId="15327"/>
    <cellStyle name="Обычный 9 8 5 2 3" xfId="15328"/>
    <cellStyle name="Обычный 9 8 5 2 4" xfId="15329"/>
    <cellStyle name="Обычный 9 8 5 3" xfId="15330"/>
    <cellStyle name="Обычный 9 8 5 3 2" xfId="15331"/>
    <cellStyle name="Обычный 9 8 5 3 3" xfId="15332"/>
    <cellStyle name="Обычный 9 8 5 4" xfId="15333"/>
    <cellStyle name="Обычный 9 8 5 5" xfId="15334"/>
    <cellStyle name="Обычный 9 8 6" xfId="15335"/>
    <cellStyle name="Обычный 9 8 6 2" xfId="15336"/>
    <cellStyle name="Обычный 9 8 6 2 2" xfId="15337"/>
    <cellStyle name="Обычный 9 8 6 2 2 2" xfId="15338"/>
    <cellStyle name="Обычный 9 8 6 2 2 3" xfId="15339"/>
    <cellStyle name="Обычный 9 8 6 2 3" xfId="15340"/>
    <cellStyle name="Обычный 9 8 6 2 4" xfId="15341"/>
    <cellStyle name="Обычный 9 8 6 3" xfId="15342"/>
    <cellStyle name="Обычный 9 8 6 3 2" xfId="15343"/>
    <cellStyle name="Обычный 9 8 6 3 3" xfId="15344"/>
    <cellStyle name="Обычный 9 8 6 4" xfId="15345"/>
    <cellStyle name="Обычный 9 8 6 5" xfId="15346"/>
    <cellStyle name="Обычный 9 8 7" xfId="15347"/>
    <cellStyle name="Обычный 9 8 7 2" xfId="15348"/>
    <cellStyle name="Обычный 9 8 7 2 2" xfId="15349"/>
    <cellStyle name="Обычный 9 8 7 2 3" xfId="15350"/>
    <cellStyle name="Обычный 9 8 7 3" xfId="15351"/>
    <cellStyle name="Обычный 9 8 7 4" xfId="15352"/>
    <cellStyle name="Обычный 9 8 8" xfId="15353"/>
    <cellStyle name="Обычный 9 8 8 2" xfId="15354"/>
    <cellStyle name="Обычный 9 8 8 3" xfId="15355"/>
    <cellStyle name="Обычный 9 8 9" xfId="15356"/>
    <cellStyle name="Обычный 9 8_Расчет  30 млн_Технополис  Коренькова" xfId="15357"/>
    <cellStyle name="Обычный 9 9" xfId="15358"/>
    <cellStyle name="Обычный 9 9 10" xfId="15359"/>
    <cellStyle name="Обычный 9 9 2" xfId="15360"/>
    <cellStyle name="Обычный 9 9 2 2" xfId="15361"/>
    <cellStyle name="Обычный 9 9 2 2 2" xfId="15362"/>
    <cellStyle name="Обычный 9 9 2 2 2 2" xfId="15363"/>
    <cellStyle name="Обычный 9 9 2 2 2 3" xfId="15364"/>
    <cellStyle name="Обычный 9 9 2 2 3" xfId="15365"/>
    <cellStyle name="Обычный 9 9 2 2 4" xfId="15366"/>
    <cellStyle name="Обычный 9 9 2 3" xfId="15367"/>
    <cellStyle name="Обычный 9 9 2 3 2" xfId="15368"/>
    <cellStyle name="Обычный 9 9 2 3 3" xfId="15369"/>
    <cellStyle name="Обычный 9 9 2 4" xfId="15370"/>
    <cellStyle name="Обычный 9 9 2 5" xfId="15371"/>
    <cellStyle name="Обычный 9 9 3" xfId="15372"/>
    <cellStyle name="Обычный 9 9 3 2" xfId="15373"/>
    <cellStyle name="Обычный 9 9 3 2 2" xfId="15374"/>
    <cellStyle name="Обычный 9 9 3 2 2 2" xfId="15375"/>
    <cellStyle name="Обычный 9 9 3 2 2 3" xfId="15376"/>
    <cellStyle name="Обычный 9 9 3 2 3" xfId="15377"/>
    <cellStyle name="Обычный 9 9 3 2 4" xfId="15378"/>
    <cellStyle name="Обычный 9 9 3 3" xfId="15379"/>
    <cellStyle name="Обычный 9 9 3 3 2" xfId="15380"/>
    <cellStyle name="Обычный 9 9 3 3 3" xfId="15381"/>
    <cellStyle name="Обычный 9 9 3 4" xfId="15382"/>
    <cellStyle name="Обычный 9 9 3 5" xfId="15383"/>
    <cellStyle name="Обычный 9 9 4" xfId="15384"/>
    <cellStyle name="Обычный 9 9 4 2" xfId="15385"/>
    <cellStyle name="Обычный 9 9 4 2 2" xfId="15386"/>
    <cellStyle name="Обычный 9 9 4 2 2 2" xfId="15387"/>
    <cellStyle name="Обычный 9 9 4 2 2 3" xfId="15388"/>
    <cellStyle name="Обычный 9 9 4 2 3" xfId="15389"/>
    <cellStyle name="Обычный 9 9 4 2 4" xfId="15390"/>
    <cellStyle name="Обычный 9 9 4 3" xfId="15391"/>
    <cellStyle name="Обычный 9 9 4 3 2" xfId="15392"/>
    <cellStyle name="Обычный 9 9 4 3 3" xfId="15393"/>
    <cellStyle name="Обычный 9 9 4 4" xfId="15394"/>
    <cellStyle name="Обычный 9 9 4 5" xfId="15395"/>
    <cellStyle name="Обычный 9 9 5" xfId="15396"/>
    <cellStyle name="Обычный 9 9 5 2" xfId="15397"/>
    <cellStyle name="Обычный 9 9 5 2 2" xfId="15398"/>
    <cellStyle name="Обычный 9 9 5 2 2 2" xfId="15399"/>
    <cellStyle name="Обычный 9 9 5 2 2 3" xfId="15400"/>
    <cellStyle name="Обычный 9 9 5 2 3" xfId="15401"/>
    <cellStyle name="Обычный 9 9 5 2 4" xfId="15402"/>
    <cellStyle name="Обычный 9 9 5 3" xfId="15403"/>
    <cellStyle name="Обычный 9 9 5 3 2" xfId="15404"/>
    <cellStyle name="Обычный 9 9 5 3 3" xfId="15405"/>
    <cellStyle name="Обычный 9 9 5 4" xfId="15406"/>
    <cellStyle name="Обычный 9 9 5 5" xfId="15407"/>
    <cellStyle name="Обычный 9 9 6" xfId="15408"/>
    <cellStyle name="Обычный 9 9 6 2" xfId="15409"/>
    <cellStyle name="Обычный 9 9 6 2 2" xfId="15410"/>
    <cellStyle name="Обычный 9 9 6 2 2 2" xfId="15411"/>
    <cellStyle name="Обычный 9 9 6 2 2 3" xfId="15412"/>
    <cellStyle name="Обычный 9 9 6 2 3" xfId="15413"/>
    <cellStyle name="Обычный 9 9 6 2 4" xfId="15414"/>
    <cellStyle name="Обычный 9 9 6 3" xfId="15415"/>
    <cellStyle name="Обычный 9 9 6 3 2" xfId="15416"/>
    <cellStyle name="Обычный 9 9 6 3 3" xfId="15417"/>
    <cellStyle name="Обычный 9 9 6 4" xfId="15418"/>
    <cellStyle name="Обычный 9 9 6 5" xfId="15419"/>
    <cellStyle name="Обычный 9 9 7" xfId="15420"/>
    <cellStyle name="Обычный 9 9 7 2" xfId="15421"/>
    <cellStyle name="Обычный 9 9 7 2 2" xfId="15422"/>
    <cellStyle name="Обычный 9 9 7 2 3" xfId="15423"/>
    <cellStyle name="Обычный 9 9 7 3" xfId="15424"/>
    <cellStyle name="Обычный 9 9 7 4" xfId="15425"/>
    <cellStyle name="Обычный 9 9 8" xfId="15426"/>
    <cellStyle name="Обычный 9 9 8 2" xfId="15427"/>
    <cellStyle name="Обычный 9 9 8 3" xfId="15428"/>
    <cellStyle name="Обычный 9 9 9" xfId="15429"/>
    <cellStyle name="Обычный 9 9_Расчет  30 млн_Технополис  Коренькова" xfId="15430"/>
    <cellStyle name="Обычный 9_1 ВАР. КП 1 293  +8пропорцЛара" xfId="15431"/>
    <cellStyle name="Обычный 90" xfId="15432"/>
    <cellStyle name="Обычный 91" xfId="15433"/>
    <cellStyle name="Обычный 92" xfId="15434"/>
    <cellStyle name="Обычный 93" xfId="15435"/>
    <cellStyle name="Обычный 94" xfId="13"/>
    <cellStyle name="Обычный 96" xfId="15436"/>
    <cellStyle name="Плохой 2" xfId="15437"/>
    <cellStyle name="Плохой 2 2" xfId="15438"/>
    <cellStyle name="Плохой 3" xfId="15439"/>
    <cellStyle name="Плохой 3 2" xfId="15440"/>
    <cellStyle name="Пояснение 2" xfId="15441"/>
    <cellStyle name="Пояснение 2 2" xfId="15442"/>
    <cellStyle name="Пояснение 3" xfId="15443"/>
    <cellStyle name="Пояснение 3 2" xfId="15444"/>
    <cellStyle name="Примечание 2" xfId="15445"/>
    <cellStyle name="Примечание 2 2" xfId="15446"/>
    <cellStyle name="Примечание 2 2 2" xfId="15447"/>
    <cellStyle name="Примечание 2 2 2 10" xfId="19560"/>
    <cellStyle name="Примечание 2 2 2 2" xfId="15448"/>
    <cellStyle name="Примечание 2 2 2 2 2" xfId="15449"/>
    <cellStyle name="Примечание 2 2 2 2 2 2" xfId="19558"/>
    <cellStyle name="Примечание 2 2 2 2 3" xfId="19559"/>
    <cellStyle name="Примечание 2 2 2 3" xfId="15450"/>
    <cellStyle name="Примечание 2 2 2 3 2" xfId="15451"/>
    <cellStyle name="Примечание 2 2 2 3 2 2" xfId="19556"/>
    <cellStyle name="Примечание 2 2 2 3 3" xfId="19557"/>
    <cellStyle name="Примечание 2 2 2 4" xfId="15452"/>
    <cellStyle name="Примечание 2 2 2 4 2" xfId="15453"/>
    <cellStyle name="Примечание 2 2 2 4 2 2" xfId="19554"/>
    <cellStyle name="Примечание 2 2 2 4 3" xfId="19555"/>
    <cellStyle name="Примечание 2 2 2 5" xfId="15454"/>
    <cellStyle name="Примечание 2 2 2 5 2" xfId="19553"/>
    <cellStyle name="Примечание 2 2 2 6" xfId="15455"/>
    <cellStyle name="Примечание 2 2 2 6 2" xfId="19552"/>
    <cellStyle name="Примечание 2 2 2 7" xfId="15456"/>
    <cellStyle name="Примечание 2 2 2 7 2" xfId="19551"/>
    <cellStyle name="Примечание 2 2 2 8" xfId="15457"/>
    <cellStyle name="Примечание 2 2 2 8 2" xfId="19550"/>
    <cellStyle name="Примечание 2 2 2 9" xfId="15458"/>
    <cellStyle name="Примечание 2 2 2 9 2" xfId="19549"/>
    <cellStyle name="Примечание 2 2 3" xfId="15459"/>
    <cellStyle name="Примечание 2 2 3 2" xfId="15460"/>
    <cellStyle name="Примечание 2 2 3 2 2" xfId="19547"/>
    <cellStyle name="Примечание 2 2 3 3" xfId="19548"/>
    <cellStyle name="Примечание 2 2 4" xfId="15461"/>
    <cellStyle name="Примечание 2 2 4 2" xfId="15462"/>
    <cellStyle name="Примечание 2 2 4 2 2" xfId="19545"/>
    <cellStyle name="Примечание 2 2 4 3" xfId="19546"/>
    <cellStyle name="Примечание 2 2 5" xfId="15463"/>
    <cellStyle name="Примечание 2 2 5 2" xfId="19544"/>
    <cellStyle name="Примечание 2 2 6" xfId="15464"/>
    <cellStyle name="Примечание 2 2 6 2" xfId="19543"/>
    <cellStyle name="Примечание 2 2 7" xfId="19561"/>
    <cellStyle name="Примечание 2 3" xfId="15465"/>
    <cellStyle name="Примечание 2 3 10" xfId="19542"/>
    <cellStyle name="Примечание 2 3 2" xfId="15466"/>
    <cellStyle name="Примечание 2 3 2 2" xfId="15467"/>
    <cellStyle name="Примечание 2 3 2 2 2" xfId="19540"/>
    <cellStyle name="Примечание 2 3 2 3" xfId="19541"/>
    <cellStyle name="Примечание 2 3 3" xfId="15468"/>
    <cellStyle name="Примечание 2 3 3 2" xfId="15469"/>
    <cellStyle name="Примечание 2 3 3 2 2" xfId="19538"/>
    <cellStyle name="Примечание 2 3 3 3" xfId="19539"/>
    <cellStyle name="Примечание 2 3 4" xfId="15470"/>
    <cellStyle name="Примечание 2 3 4 2" xfId="15471"/>
    <cellStyle name="Примечание 2 3 4 2 2" xfId="19536"/>
    <cellStyle name="Примечание 2 3 4 3" xfId="19537"/>
    <cellStyle name="Примечание 2 3 5" xfId="15472"/>
    <cellStyle name="Примечание 2 3 5 2" xfId="19535"/>
    <cellStyle name="Примечание 2 3 6" xfId="15473"/>
    <cellStyle name="Примечание 2 3 6 2" xfId="19534"/>
    <cellStyle name="Примечание 2 3 7" xfId="15474"/>
    <cellStyle name="Примечание 2 3 7 2" xfId="19533"/>
    <cellStyle name="Примечание 2 3 8" xfId="15475"/>
    <cellStyle name="Примечание 2 3 8 2" xfId="19532"/>
    <cellStyle name="Примечание 2 3 9" xfId="15476"/>
    <cellStyle name="Примечание 2 3 9 2" xfId="19531"/>
    <cellStyle name="Примечание 2 4" xfId="15477"/>
    <cellStyle name="Примечание 2 4 2" xfId="15478"/>
    <cellStyle name="Примечание 2 4 2 2" xfId="19529"/>
    <cellStyle name="Примечание 2 4 3" xfId="19530"/>
    <cellStyle name="Примечание 2 5" xfId="15479"/>
    <cellStyle name="Примечание 2 5 2" xfId="15480"/>
    <cellStyle name="Примечание 2 5 2 2" xfId="19527"/>
    <cellStyle name="Примечание 2 5 3" xfId="19528"/>
    <cellStyle name="Примечание 2 6" xfId="15481"/>
    <cellStyle name="Примечание 2 6 2" xfId="19526"/>
    <cellStyle name="Примечание 2 7" xfId="15482"/>
    <cellStyle name="Примечание 2 7 2" xfId="19525"/>
    <cellStyle name="Примечание 2 8" xfId="19562"/>
    <cellStyle name="Примечание 3" xfId="15483"/>
    <cellStyle name="Примечание 3 2" xfId="15484"/>
    <cellStyle name="Примечание 3 2 2" xfId="15485"/>
    <cellStyle name="Примечание 3 2 2 2" xfId="19522"/>
    <cellStyle name="Примечание 3 2 3" xfId="19523"/>
    <cellStyle name="Примечание 3 3" xfId="15486"/>
    <cellStyle name="Примечание 3 3 2" xfId="15487"/>
    <cellStyle name="Примечание 3 3 2 2" xfId="19520"/>
    <cellStyle name="Примечание 3 3 3" xfId="19521"/>
    <cellStyle name="Примечание 3 4" xfId="15488"/>
    <cellStyle name="Примечание 3 4 2" xfId="19519"/>
    <cellStyle name="Примечание 3 5" xfId="15489"/>
    <cellStyle name="Примечание 3 5 2" xfId="19518"/>
    <cellStyle name="Примечание 3 6" xfId="15490"/>
    <cellStyle name="Примечание 3 6 2" xfId="19517"/>
    <cellStyle name="Примечание 3 7" xfId="15491"/>
    <cellStyle name="Примечание 3 7 2" xfId="19516"/>
    <cellStyle name="Примечание 3 8" xfId="15492"/>
    <cellStyle name="Примечание 3 8 2" xfId="19515"/>
    <cellStyle name="Примечание 3 9" xfId="19524"/>
    <cellStyle name="Процентный 10" xfId="15493"/>
    <cellStyle name="Процентный 11" xfId="15494"/>
    <cellStyle name="Процентный 11 2" xfId="15495"/>
    <cellStyle name="Процентный 12" xfId="15496"/>
    <cellStyle name="Процентный 12 2" xfId="15497"/>
    <cellStyle name="Процентный 12 3" xfId="15498"/>
    <cellStyle name="Процентный 13" xfId="15499"/>
    <cellStyle name="Процентный 13 2" xfId="15500"/>
    <cellStyle name="Процентный 13 3" xfId="15501"/>
    <cellStyle name="Процентный 14" xfId="15502"/>
    <cellStyle name="Процентный 2" xfId="15503"/>
    <cellStyle name="Процентный 2 10" xfId="15504"/>
    <cellStyle name="Процентный 2 2" xfId="15505"/>
    <cellStyle name="Процентный 2 3" xfId="15506"/>
    <cellStyle name="Процентный 2 4" xfId="15507"/>
    <cellStyle name="Процентный 2 5" xfId="15508"/>
    <cellStyle name="Процентный 2 6" xfId="15509"/>
    <cellStyle name="Процентный 2 7" xfId="15510"/>
    <cellStyle name="Процентный 2 8" xfId="15511"/>
    <cellStyle name="Процентный 2 9" xfId="15512"/>
    <cellStyle name="Процентный 3" xfId="15513"/>
    <cellStyle name="Процентный 3 10" xfId="15514"/>
    <cellStyle name="Процентный 3 10 2" xfId="15515"/>
    <cellStyle name="Процентный 3 10 2 2" xfId="15516"/>
    <cellStyle name="Процентный 3 10 2 2 2" xfId="15517"/>
    <cellStyle name="Процентный 3 10 2 2 3" xfId="15518"/>
    <cellStyle name="Процентный 3 10 2 3" xfId="15519"/>
    <cellStyle name="Процентный 3 10 2 4" xfId="15520"/>
    <cellStyle name="Процентный 3 10 2 5" xfId="15521"/>
    <cellStyle name="Процентный 3 10 3" xfId="15522"/>
    <cellStyle name="Процентный 3 10 3 2" xfId="15523"/>
    <cellStyle name="Процентный 3 10 3 3" xfId="15524"/>
    <cellStyle name="Процентный 3 10 4" xfId="15525"/>
    <cellStyle name="Процентный 3 10 5" xfId="15526"/>
    <cellStyle name="Процентный 3 10 6" xfId="15527"/>
    <cellStyle name="Процентный 3 11" xfId="15528"/>
    <cellStyle name="Процентный 3 11 2" xfId="15529"/>
    <cellStyle name="Процентный 3 11 2 2" xfId="15530"/>
    <cellStyle name="Процентный 3 11 2 2 2" xfId="15531"/>
    <cellStyle name="Процентный 3 11 2 2 3" xfId="15532"/>
    <cellStyle name="Процентный 3 11 2 3" xfId="15533"/>
    <cellStyle name="Процентный 3 11 2 4" xfId="15534"/>
    <cellStyle name="Процентный 3 11 2 5" xfId="15535"/>
    <cellStyle name="Процентный 3 11 3" xfId="15536"/>
    <cellStyle name="Процентный 3 11 3 2" xfId="15537"/>
    <cellStyle name="Процентный 3 11 3 3" xfId="15538"/>
    <cellStyle name="Процентный 3 11 4" xfId="15539"/>
    <cellStyle name="Процентный 3 11 5" xfId="15540"/>
    <cellStyle name="Процентный 3 11 6" xfId="15541"/>
    <cellStyle name="Процентный 3 12" xfId="15542"/>
    <cellStyle name="Процентный 3 12 2" xfId="15543"/>
    <cellStyle name="Процентный 3 12 2 2" xfId="15544"/>
    <cellStyle name="Процентный 3 12 2 2 2" xfId="15545"/>
    <cellStyle name="Процентный 3 12 2 2 3" xfId="15546"/>
    <cellStyle name="Процентный 3 12 2 3" xfId="15547"/>
    <cellStyle name="Процентный 3 12 2 4" xfId="15548"/>
    <cellStyle name="Процентный 3 12 2 5" xfId="15549"/>
    <cellStyle name="Процентный 3 12 3" xfId="15550"/>
    <cellStyle name="Процентный 3 12 3 2" xfId="15551"/>
    <cellStyle name="Процентный 3 12 3 3" xfId="15552"/>
    <cellStyle name="Процентный 3 12 4" xfId="15553"/>
    <cellStyle name="Процентный 3 12 5" xfId="15554"/>
    <cellStyle name="Процентный 3 12 6" xfId="15555"/>
    <cellStyle name="Процентный 3 13" xfId="15556"/>
    <cellStyle name="Процентный 3 13 2" xfId="15557"/>
    <cellStyle name="Процентный 3 13 2 2" xfId="15558"/>
    <cellStyle name="Процентный 3 13 2 3" xfId="15559"/>
    <cellStyle name="Процентный 3 13 3" xfId="15560"/>
    <cellStyle name="Процентный 3 13 4" xfId="15561"/>
    <cellStyle name="Процентный 3 13 5" xfId="15562"/>
    <cellStyle name="Процентный 3 14" xfId="15563"/>
    <cellStyle name="Процентный 3 14 2" xfId="15564"/>
    <cellStyle name="Процентный 3 14 3" xfId="15565"/>
    <cellStyle name="Процентный 3 15" xfId="15566"/>
    <cellStyle name="Процентный 3 16" xfId="15567"/>
    <cellStyle name="Процентный 3 2" xfId="15568"/>
    <cellStyle name="Процентный 3 2 10" xfId="15569"/>
    <cellStyle name="Процентный 3 2 10 2" xfId="15570"/>
    <cellStyle name="Процентный 3 2 10 2 2" xfId="15571"/>
    <cellStyle name="Процентный 3 2 10 2 3" xfId="15572"/>
    <cellStyle name="Процентный 3 2 10 3" xfId="15573"/>
    <cellStyle name="Процентный 3 2 10 4" xfId="15574"/>
    <cellStyle name="Процентный 3 2 10 5" xfId="15575"/>
    <cellStyle name="Процентный 3 2 11" xfId="15576"/>
    <cellStyle name="Процентный 3 2 11 2" xfId="15577"/>
    <cellStyle name="Процентный 3 2 11 3" xfId="15578"/>
    <cellStyle name="Процентный 3 2 12" xfId="15579"/>
    <cellStyle name="Процентный 3 2 13" xfId="15580"/>
    <cellStyle name="Процентный 3 2 2" xfId="15581"/>
    <cellStyle name="Процентный 3 2 2 10" xfId="15582"/>
    <cellStyle name="Процентный 3 2 2 11" xfId="15583"/>
    <cellStyle name="Процентный 3 2 2 2" xfId="15584"/>
    <cellStyle name="Процентный 3 2 2 2 2" xfId="15585"/>
    <cellStyle name="Процентный 3 2 2 2 2 2" xfId="15586"/>
    <cellStyle name="Процентный 3 2 2 2 2 2 2" xfId="15587"/>
    <cellStyle name="Процентный 3 2 2 2 2 2 3" xfId="15588"/>
    <cellStyle name="Процентный 3 2 2 2 2 3" xfId="15589"/>
    <cellStyle name="Процентный 3 2 2 2 2 4" xfId="15590"/>
    <cellStyle name="Процентный 3 2 2 2 2 5" xfId="15591"/>
    <cellStyle name="Процентный 3 2 2 2 3" xfId="15592"/>
    <cellStyle name="Процентный 3 2 2 2 3 2" xfId="15593"/>
    <cellStyle name="Процентный 3 2 2 2 3 3" xfId="15594"/>
    <cellStyle name="Процентный 3 2 2 2 4" xfId="15595"/>
    <cellStyle name="Процентный 3 2 2 2 5" xfId="15596"/>
    <cellStyle name="Процентный 3 2 2 3" xfId="15597"/>
    <cellStyle name="Процентный 3 2 2 3 2" xfId="15598"/>
    <cellStyle name="Процентный 3 2 2 3 3" xfId="15599"/>
    <cellStyle name="Процентный 3 2 2 4" xfId="15600"/>
    <cellStyle name="Процентный 3 2 2 4 2" xfId="15601"/>
    <cellStyle name="Процентный 3 2 2 4 2 2" xfId="15602"/>
    <cellStyle name="Процентный 3 2 2 4 2 2 2" xfId="15603"/>
    <cellStyle name="Процентный 3 2 2 4 2 2 3" xfId="15604"/>
    <cellStyle name="Процентный 3 2 2 4 2 3" xfId="15605"/>
    <cellStyle name="Процентный 3 2 2 4 2 4" xfId="15606"/>
    <cellStyle name="Процентный 3 2 2 4 2 5" xfId="15607"/>
    <cellStyle name="Процентный 3 2 2 4 3" xfId="15608"/>
    <cellStyle name="Процентный 3 2 2 4 3 2" xfId="15609"/>
    <cellStyle name="Процентный 3 2 2 4 3 3" xfId="15610"/>
    <cellStyle name="Процентный 3 2 2 4 4" xfId="15611"/>
    <cellStyle name="Процентный 3 2 2 4 5" xfId="15612"/>
    <cellStyle name="Процентный 3 2 2 4 6" xfId="15613"/>
    <cellStyle name="Процентный 3 2 2 5" xfId="15614"/>
    <cellStyle name="Процентный 3 2 2 5 2" xfId="15615"/>
    <cellStyle name="Процентный 3 2 2 5 2 2" xfId="15616"/>
    <cellStyle name="Процентный 3 2 2 5 2 2 2" xfId="15617"/>
    <cellStyle name="Процентный 3 2 2 5 2 2 3" xfId="15618"/>
    <cellStyle name="Процентный 3 2 2 5 2 3" xfId="15619"/>
    <cellStyle name="Процентный 3 2 2 5 2 4" xfId="15620"/>
    <cellStyle name="Процентный 3 2 2 5 2 5" xfId="15621"/>
    <cellStyle name="Процентный 3 2 2 5 3" xfId="15622"/>
    <cellStyle name="Процентный 3 2 2 5 3 2" xfId="15623"/>
    <cellStyle name="Процентный 3 2 2 5 3 3" xfId="15624"/>
    <cellStyle name="Процентный 3 2 2 5 4" xfId="15625"/>
    <cellStyle name="Процентный 3 2 2 5 5" xfId="15626"/>
    <cellStyle name="Процентный 3 2 2 5 6" xfId="15627"/>
    <cellStyle name="Процентный 3 2 2 6" xfId="15628"/>
    <cellStyle name="Процентный 3 2 2 6 2" xfId="15629"/>
    <cellStyle name="Процентный 3 2 2 6 2 2" xfId="15630"/>
    <cellStyle name="Процентный 3 2 2 6 2 2 2" xfId="15631"/>
    <cellStyle name="Процентный 3 2 2 6 2 2 3" xfId="15632"/>
    <cellStyle name="Процентный 3 2 2 6 2 3" xfId="15633"/>
    <cellStyle name="Процентный 3 2 2 6 2 4" xfId="15634"/>
    <cellStyle name="Процентный 3 2 2 6 2 5" xfId="15635"/>
    <cellStyle name="Процентный 3 2 2 6 3" xfId="15636"/>
    <cellStyle name="Процентный 3 2 2 6 3 2" xfId="15637"/>
    <cellStyle name="Процентный 3 2 2 6 3 3" xfId="15638"/>
    <cellStyle name="Процентный 3 2 2 6 4" xfId="15639"/>
    <cellStyle name="Процентный 3 2 2 6 5" xfId="15640"/>
    <cellStyle name="Процентный 3 2 2 6 6" xfId="15641"/>
    <cellStyle name="Процентный 3 2 2 7" xfId="15642"/>
    <cellStyle name="Процентный 3 2 2 7 2" xfId="15643"/>
    <cellStyle name="Процентный 3 2 2 7 2 2" xfId="15644"/>
    <cellStyle name="Процентный 3 2 2 7 2 2 2" xfId="15645"/>
    <cellStyle name="Процентный 3 2 2 7 2 2 3" xfId="15646"/>
    <cellStyle name="Процентный 3 2 2 7 2 3" xfId="15647"/>
    <cellStyle name="Процентный 3 2 2 7 2 4" xfId="15648"/>
    <cellStyle name="Процентный 3 2 2 7 2 5" xfId="15649"/>
    <cellStyle name="Процентный 3 2 2 7 3" xfId="15650"/>
    <cellStyle name="Процентный 3 2 2 7 3 2" xfId="15651"/>
    <cellStyle name="Процентный 3 2 2 7 3 3" xfId="15652"/>
    <cellStyle name="Процентный 3 2 2 7 4" xfId="15653"/>
    <cellStyle name="Процентный 3 2 2 7 5" xfId="15654"/>
    <cellStyle name="Процентный 3 2 2 7 6" xfId="15655"/>
    <cellStyle name="Процентный 3 2 2 8" xfId="15656"/>
    <cellStyle name="Процентный 3 2 2 8 2" xfId="15657"/>
    <cellStyle name="Процентный 3 2 2 8 2 2" xfId="15658"/>
    <cellStyle name="Процентный 3 2 2 8 2 3" xfId="15659"/>
    <cellStyle name="Процентный 3 2 2 8 3" xfId="15660"/>
    <cellStyle name="Процентный 3 2 2 8 4" xfId="15661"/>
    <cellStyle name="Процентный 3 2 2 8 5" xfId="15662"/>
    <cellStyle name="Процентный 3 2 2 9" xfId="15663"/>
    <cellStyle name="Процентный 3 2 2 9 2" xfId="15664"/>
    <cellStyle name="Процентный 3 2 2 9 3" xfId="15665"/>
    <cellStyle name="Процентный 3 2 3" xfId="15666"/>
    <cellStyle name="Процентный 3 2 3 10" xfId="15667"/>
    <cellStyle name="Процентный 3 2 3 2" xfId="15668"/>
    <cellStyle name="Процентный 3 2 3 3" xfId="15669"/>
    <cellStyle name="Процентный 3 2 3 3 2" xfId="15670"/>
    <cellStyle name="Процентный 3 2 3 3 2 2" xfId="15671"/>
    <cellStyle name="Процентный 3 2 3 3 2 2 2" xfId="15672"/>
    <cellStyle name="Процентный 3 2 3 3 2 2 3" xfId="15673"/>
    <cellStyle name="Процентный 3 2 3 3 2 3" xfId="15674"/>
    <cellStyle name="Процентный 3 2 3 3 2 4" xfId="15675"/>
    <cellStyle name="Процентный 3 2 3 3 3" xfId="15676"/>
    <cellStyle name="Процентный 3 2 3 3 3 2" xfId="15677"/>
    <cellStyle name="Процентный 3 2 3 3 3 3" xfId="15678"/>
    <cellStyle name="Процентный 3 2 3 3 4" xfId="15679"/>
    <cellStyle name="Процентный 3 2 3 3 5" xfId="15680"/>
    <cellStyle name="Процентный 3 2 3 4" xfId="15681"/>
    <cellStyle name="Процентный 3 2 3 4 2" xfId="15682"/>
    <cellStyle name="Процентный 3 2 3 4 2 2" xfId="15683"/>
    <cellStyle name="Процентный 3 2 3 4 2 2 2" xfId="15684"/>
    <cellStyle name="Процентный 3 2 3 4 2 2 3" xfId="15685"/>
    <cellStyle name="Процентный 3 2 3 4 2 3" xfId="15686"/>
    <cellStyle name="Процентный 3 2 3 4 2 4" xfId="15687"/>
    <cellStyle name="Процентный 3 2 3 4 2 5" xfId="15688"/>
    <cellStyle name="Процентный 3 2 3 4 3" xfId="15689"/>
    <cellStyle name="Процентный 3 2 3 4 3 2" xfId="15690"/>
    <cellStyle name="Процентный 3 2 3 4 3 3" xfId="15691"/>
    <cellStyle name="Процентный 3 2 3 4 4" xfId="15692"/>
    <cellStyle name="Процентный 3 2 3 4 5" xfId="15693"/>
    <cellStyle name="Процентный 3 2 3 4 6" xfId="15694"/>
    <cellStyle name="Процентный 3 2 3 5" xfId="15695"/>
    <cellStyle name="Процентный 3 2 3 5 2" xfId="15696"/>
    <cellStyle name="Процентный 3 2 3 5 2 2" xfId="15697"/>
    <cellStyle name="Процентный 3 2 3 5 2 2 2" xfId="15698"/>
    <cellStyle name="Процентный 3 2 3 5 2 2 3" xfId="15699"/>
    <cellStyle name="Процентный 3 2 3 5 2 3" xfId="15700"/>
    <cellStyle name="Процентный 3 2 3 5 2 4" xfId="15701"/>
    <cellStyle name="Процентный 3 2 3 5 2 5" xfId="15702"/>
    <cellStyle name="Процентный 3 2 3 5 3" xfId="15703"/>
    <cellStyle name="Процентный 3 2 3 5 3 2" xfId="15704"/>
    <cellStyle name="Процентный 3 2 3 5 3 3" xfId="15705"/>
    <cellStyle name="Процентный 3 2 3 5 4" xfId="15706"/>
    <cellStyle name="Процентный 3 2 3 5 5" xfId="15707"/>
    <cellStyle name="Процентный 3 2 3 5 6" xfId="15708"/>
    <cellStyle name="Процентный 3 2 3 6" xfId="15709"/>
    <cellStyle name="Процентный 3 2 3 6 2" xfId="15710"/>
    <cellStyle name="Процентный 3 2 3 6 2 2" xfId="15711"/>
    <cellStyle name="Процентный 3 2 3 6 2 2 2" xfId="15712"/>
    <cellStyle name="Процентный 3 2 3 6 2 2 3" xfId="15713"/>
    <cellStyle name="Процентный 3 2 3 6 2 3" xfId="15714"/>
    <cellStyle name="Процентный 3 2 3 6 2 4" xfId="15715"/>
    <cellStyle name="Процентный 3 2 3 6 2 5" xfId="15716"/>
    <cellStyle name="Процентный 3 2 3 6 3" xfId="15717"/>
    <cellStyle name="Процентный 3 2 3 6 3 2" xfId="15718"/>
    <cellStyle name="Процентный 3 2 3 6 3 3" xfId="15719"/>
    <cellStyle name="Процентный 3 2 3 6 4" xfId="15720"/>
    <cellStyle name="Процентный 3 2 3 6 5" xfId="15721"/>
    <cellStyle name="Процентный 3 2 3 6 6" xfId="15722"/>
    <cellStyle name="Процентный 3 2 3 7" xfId="15723"/>
    <cellStyle name="Процентный 3 2 3 7 2" xfId="15724"/>
    <cellStyle name="Процентный 3 2 3 7 2 2" xfId="15725"/>
    <cellStyle name="Процентный 3 2 3 7 2 3" xfId="15726"/>
    <cellStyle name="Процентный 3 2 3 7 3" xfId="15727"/>
    <cellStyle name="Процентный 3 2 3 7 4" xfId="15728"/>
    <cellStyle name="Процентный 3 2 3 7 5" xfId="15729"/>
    <cellStyle name="Процентный 3 2 3 8" xfId="15730"/>
    <cellStyle name="Процентный 3 2 3 8 2" xfId="15731"/>
    <cellStyle name="Процентный 3 2 3 8 3" xfId="15732"/>
    <cellStyle name="Процентный 3 2 3 9" xfId="15733"/>
    <cellStyle name="Процентный 3 2 4" xfId="15734"/>
    <cellStyle name="Процентный 3 2 4 10" xfId="15735"/>
    <cellStyle name="Процентный 3 2 4 2" xfId="15736"/>
    <cellStyle name="Процентный 3 2 4 3" xfId="15737"/>
    <cellStyle name="Процентный 3 2 4 3 2" xfId="15738"/>
    <cellStyle name="Процентный 3 2 4 3 2 2" xfId="15739"/>
    <cellStyle name="Процентный 3 2 4 3 2 2 2" xfId="15740"/>
    <cellStyle name="Процентный 3 2 4 3 2 2 3" xfId="15741"/>
    <cellStyle name="Процентный 3 2 4 3 2 3" xfId="15742"/>
    <cellStyle name="Процентный 3 2 4 3 2 4" xfId="15743"/>
    <cellStyle name="Процентный 3 2 4 3 3" xfId="15744"/>
    <cellStyle name="Процентный 3 2 4 3 3 2" xfId="15745"/>
    <cellStyle name="Процентный 3 2 4 3 3 3" xfId="15746"/>
    <cellStyle name="Процентный 3 2 4 3 4" xfId="15747"/>
    <cellStyle name="Процентный 3 2 4 3 5" xfId="15748"/>
    <cellStyle name="Процентный 3 2 4 4" xfId="15749"/>
    <cellStyle name="Процентный 3 2 4 4 2" xfId="15750"/>
    <cellStyle name="Процентный 3 2 4 4 2 2" xfId="15751"/>
    <cellStyle name="Процентный 3 2 4 4 2 2 2" xfId="15752"/>
    <cellStyle name="Процентный 3 2 4 4 2 2 3" xfId="15753"/>
    <cellStyle name="Процентный 3 2 4 4 2 3" xfId="15754"/>
    <cellStyle name="Процентный 3 2 4 4 2 4" xfId="15755"/>
    <cellStyle name="Процентный 3 2 4 4 2 5" xfId="15756"/>
    <cellStyle name="Процентный 3 2 4 4 3" xfId="15757"/>
    <cellStyle name="Процентный 3 2 4 4 3 2" xfId="15758"/>
    <cellStyle name="Процентный 3 2 4 4 3 3" xfId="15759"/>
    <cellStyle name="Процентный 3 2 4 4 4" xfId="15760"/>
    <cellStyle name="Процентный 3 2 4 4 5" xfId="15761"/>
    <cellStyle name="Процентный 3 2 4 4 6" xfId="15762"/>
    <cellStyle name="Процентный 3 2 4 5" xfId="15763"/>
    <cellStyle name="Процентный 3 2 4 5 2" xfId="15764"/>
    <cellStyle name="Процентный 3 2 4 5 2 2" xfId="15765"/>
    <cellStyle name="Процентный 3 2 4 5 2 2 2" xfId="15766"/>
    <cellStyle name="Процентный 3 2 4 5 2 2 3" xfId="15767"/>
    <cellStyle name="Процентный 3 2 4 5 2 3" xfId="15768"/>
    <cellStyle name="Процентный 3 2 4 5 2 4" xfId="15769"/>
    <cellStyle name="Процентный 3 2 4 5 2 5" xfId="15770"/>
    <cellStyle name="Процентный 3 2 4 5 3" xfId="15771"/>
    <cellStyle name="Процентный 3 2 4 5 3 2" xfId="15772"/>
    <cellStyle name="Процентный 3 2 4 5 3 3" xfId="15773"/>
    <cellStyle name="Процентный 3 2 4 5 4" xfId="15774"/>
    <cellStyle name="Процентный 3 2 4 5 5" xfId="15775"/>
    <cellStyle name="Процентный 3 2 4 5 6" xfId="15776"/>
    <cellStyle name="Процентный 3 2 4 6" xfId="15777"/>
    <cellStyle name="Процентный 3 2 4 6 2" xfId="15778"/>
    <cellStyle name="Процентный 3 2 4 6 2 2" xfId="15779"/>
    <cellStyle name="Процентный 3 2 4 6 2 2 2" xfId="15780"/>
    <cellStyle name="Процентный 3 2 4 6 2 2 3" xfId="15781"/>
    <cellStyle name="Процентный 3 2 4 6 2 3" xfId="15782"/>
    <cellStyle name="Процентный 3 2 4 6 2 4" xfId="15783"/>
    <cellStyle name="Процентный 3 2 4 6 2 5" xfId="15784"/>
    <cellStyle name="Процентный 3 2 4 6 3" xfId="15785"/>
    <cellStyle name="Процентный 3 2 4 6 3 2" xfId="15786"/>
    <cellStyle name="Процентный 3 2 4 6 3 3" xfId="15787"/>
    <cellStyle name="Процентный 3 2 4 6 4" xfId="15788"/>
    <cellStyle name="Процентный 3 2 4 6 5" xfId="15789"/>
    <cellStyle name="Процентный 3 2 4 6 6" xfId="15790"/>
    <cellStyle name="Процентный 3 2 4 7" xfId="15791"/>
    <cellStyle name="Процентный 3 2 4 7 2" xfId="15792"/>
    <cellStyle name="Процентный 3 2 4 7 2 2" xfId="15793"/>
    <cellStyle name="Процентный 3 2 4 7 2 3" xfId="15794"/>
    <cellStyle name="Процентный 3 2 4 7 3" xfId="15795"/>
    <cellStyle name="Процентный 3 2 4 7 4" xfId="15796"/>
    <cellStyle name="Процентный 3 2 4 7 5" xfId="15797"/>
    <cellStyle name="Процентный 3 2 4 8" xfId="15798"/>
    <cellStyle name="Процентный 3 2 4 8 2" xfId="15799"/>
    <cellStyle name="Процентный 3 2 4 8 3" xfId="15800"/>
    <cellStyle name="Процентный 3 2 4 9" xfId="15801"/>
    <cellStyle name="Процентный 3 2 5" xfId="15802"/>
    <cellStyle name="Процентный 3 2 5 2" xfId="15803"/>
    <cellStyle name="Процентный 3 2 5 2 2" xfId="15804"/>
    <cellStyle name="Процентный 3 2 5 2 2 2" xfId="15805"/>
    <cellStyle name="Процентный 3 2 5 2 2 3" xfId="15806"/>
    <cellStyle name="Процентный 3 2 5 2 3" xfId="15807"/>
    <cellStyle name="Процентный 3 2 5 2 4" xfId="15808"/>
    <cellStyle name="Процентный 3 2 5 2 5" xfId="15809"/>
    <cellStyle name="Процентный 3 2 5 3" xfId="15810"/>
    <cellStyle name="Процентный 3 2 5 3 2" xfId="15811"/>
    <cellStyle name="Процентный 3 2 5 3 3" xfId="15812"/>
    <cellStyle name="Процентный 3 2 5 4" xfId="15813"/>
    <cellStyle name="Процентный 3 2 5 5" xfId="15814"/>
    <cellStyle name="Процентный 3 2 6" xfId="15815"/>
    <cellStyle name="Процентный 3 2 6 2" xfId="15816"/>
    <cellStyle name="Процентный 3 2 6 2 2" xfId="15817"/>
    <cellStyle name="Процентный 3 2 6 2 2 2" xfId="15818"/>
    <cellStyle name="Процентный 3 2 6 2 2 3" xfId="15819"/>
    <cellStyle name="Процентный 3 2 6 2 3" xfId="15820"/>
    <cellStyle name="Процентный 3 2 6 2 4" xfId="15821"/>
    <cellStyle name="Процентный 3 2 6 3" xfId="15822"/>
    <cellStyle name="Процентный 3 2 6 3 2" xfId="15823"/>
    <cellStyle name="Процентный 3 2 6 3 3" xfId="15824"/>
    <cellStyle name="Процентный 3 2 6 4" xfId="15825"/>
    <cellStyle name="Процентный 3 2 6 5" xfId="15826"/>
    <cellStyle name="Процентный 3 2 7" xfId="15827"/>
    <cellStyle name="Процентный 3 2 7 2" xfId="15828"/>
    <cellStyle name="Процентный 3 2 7 2 2" xfId="15829"/>
    <cellStyle name="Процентный 3 2 7 2 2 2" xfId="15830"/>
    <cellStyle name="Процентный 3 2 7 2 2 3" xfId="15831"/>
    <cellStyle name="Процентный 3 2 7 2 3" xfId="15832"/>
    <cellStyle name="Процентный 3 2 7 2 4" xfId="15833"/>
    <cellStyle name="Процентный 3 2 7 2 5" xfId="15834"/>
    <cellStyle name="Процентный 3 2 7 3" xfId="15835"/>
    <cellStyle name="Процентный 3 2 7 3 2" xfId="15836"/>
    <cellStyle name="Процентный 3 2 7 3 3" xfId="15837"/>
    <cellStyle name="Процентный 3 2 7 4" xfId="15838"/>
    <cellStyle name="Процентный 3 2 7 5" xfId="15839"/>
    <cellStyle name="Процентный 3 2 7 6" xfId="15840"/>
    <cellStyle name="Процентный 3 2 8" xfId="15841"/>
    <cellStyle name="Процентный 3 2 8 2" xfId="15842"/>
    <cellStyle name="Процентный 3 2 8 2 2" xfId="15843"/>
    <cellStyle name="Процентный 3 2 8 2 2 2" xfId="15844"/>
    <cellStyle name="Процентный 3 2 8 2 2 3" xfId="15845"/>
    <cellStyle name="Процентный 3 2 8 2 3" xfId="15846"/>
    <cellStyle name="Процентный 3 2 8 2 4" xfId="15847"/>
    <cellStyle name="Процентный 3 2 8 2 5" xfId="15848"/>
    <cellStyle name="Процентный 3 2 8 3" xfId="15849"/>
    <cellStyle name="Процентный 3 2 8 3 2" xfId="15850"/>
    <cellStyle name="Процентный 3 2 8 3 3" xfId="15851"/>
    <cellStyle name="Процентный 3 2 8 4" xfId="15852"/>
    <cellStyle name="Процентный 3 2 8 5" xfId="15853"/>
    <cellStyle name="Процентный 3 2 8 6" xfId="15854"/>
    <cellStyle name="Процентный 3 2 9" xfId="15855"/>
    <cellStyle name="Процентный 3 2 9 2" xfId="15856"/>
    <cellStyle name="Процентный 3 2 9 2 2" xfId="15857"/>
    <cellStyle name="Процентный 3 2 9 2 2 2" xfId="15858"/>
    <cellStyle name="Процентный 3 2 9 2 2 3" xfId="15859"/>
    <cellStyle name="Процентный 3 2 9 2 3" xfId="15860"/>
    <cellStyle name="Процентный 3 2 9 2 4" xfId="15861"/>
    <cellStyle name="Процентный 3 2 9 2 5" xfId="15862"/>
    <cellStyle name="Процентный 3 2 9 3" xfId="15863"/>
    <cellStyle name="Процентный 3 2 9 3 2" xfId="15864"/>
    <cellStyle name="Процентный 3 2 9 3 3" xfId="15865"/>
    <cellStyle name="Процентный 3 2 9 4" xfId="15866"/>
    <cellStyle name="Процентный 3 2 9 5" xfId="15867"/>
    <cellStyle name="Процентный 3 2 9 6" xfId="15868"/>
    <cellStyle name="Процентный 3 3" xfId="15869"/>
    <cellStyle name="Процентный 3 3 2" xfId="15870"/>
    <cellStyle name="Процентный 3 3 3" xfId="15871"/>
    <cellStyle name="Процентный 3 4" xfId="15872"/>
    <cellStyle name="Процентный 3 4 10" xfId="15873"/>
    <cellStyle name="Процентный 3 4 2" xfId="15874"/>
    <cellStyle name="Процентный 3 4 3" xfId="15875"/>
    <cellStyle name="Процентный 3 4 3 2" xfId="15876"/>
    <cellStyle name="Процентный 3 4 3 2 2" xfId="15877"/>
    <cellStyle name="Процентный 3 4 3 2 2 2" xfId="15878"/>
    <cellStyle name="Процентный 3 4 3 2 2 3" xfId="15879"/>
    <cellStyle name="Процентный 3 4 3 2 3" xfId="15880"/>
    <cellStyle name="Процентный 3 4 3 2 4" xfId="15881"/>
    <cellStyle name="Процентный 3 4 3 3" xfId="15882"/>
    <cellStyle name="Процентный 3 4 3 3 2" xfId="15883"/>
    <cellStyle name="Процентный 3 4 3 3 3" xfId="15884"/>
    <cellStyle name="Процентный 3 4 3 4" xfId="15885"/>
    <cellStyle name="Процентный 3 4 3 5" xfId="15886"/>
    <cellStyle name="Процентный 3 4 4" xfId="15887"/>
    <cellStyle name="Процентный 3 4 4 2" xfId="15888"/>
    <cellStyle name="Процентный 3 4 4 2 2" xfId="15889"/>
    <cellStyle name="Процентный 3 4 4 2 2 2" xfId="15890"/>
    <cellStyle name="Процентный 3 4 4 2 2 3" xfId="15891"/>
    <cellStyle name="Процентный 3 4 4 2 3" xfId="15892"/>
    <cellStyle name="Процентный 3 4 4 2 4" xfId="15893"/>
    <cellStyle name="Процентный 3 4 4 2 5" xfId="15894"/>
    <cellStyle name="Процентный 3 4 4 3" xfId="15895"/>
    <cellStyle name="Процентный 3 4 4 3 2" xfId="15896"/>
    <cellStyle name="Процентный 3 4 4 3 3" xfId="15897"/>
    <cellStyle name="Процентный 3 4 4 4" xfId="15898"/>
    <cellStyle name="Процентный 3 4 4 5" xfId="15899"/>
    <cellStyle name="Процентный 3 4 4 6" xfId="15900"/>
    <cellStyle name="Процентный 3 4 5" xfId="15901"/>
    <cellStyle name="Процентный 3 4 5 2" xfId="15902"/>
    <cellStyle name="Процентный 3 4 5 2 2" xfId="15903"/>
    <cellStyle name="Процентный 3 4 5 2 2 2" xfId="15904"/>
    <cellStyle name="Процентный 3 4 5 2 2 3" xfId="15905"/>
    <cellStyle name="Процентный 3 4 5 2 3" xfId="15906"/>
    <cellStyle name="Процентный 3 4 5 2 4" xfId="15907"/>
    <cellStyle name="Процентный 3 4 5 2 5" xfId="15908"/>
    <cellStyle name="Процентный 3 4 5 3" xfId="15909"/>
    <cellStyle name="Процентный 3 4 5 3 2" xfId="15910"/>
    <cellStyle name="Процентный 3 4 5 3 3" xfId="15911"/>
    <cellStyle name="Процентный 3 4 5 4" xfId="15912"/>
    <cellStyle name="Процентный 3 4 5 5" xfId="15913"/>
    <cellStyle name="Процентный 3 4 5 6" xfId="15914"/>
    <cellStyle name="Процентный 3 4 6" xfId="15915"/>
    <cellStyle name="Процентный 3 4 6 2" xfId="15916"/>
    <cellStyle name="Процентный 3 4 6 2 2" xfId="15917"/>
    <cellStyle name="Процентный 3 4 6 2 2 2" xfId="15918"/>
    <cellStyle name="Процентный 3 4 6 2 2 3" xfId="15919"/>
    <cellStyle name="Процентный 3 4 6 2 3" xfId="15920"/>
    <cellStyle name="Процентный 3 4 6 2 4" xfId="15921"/>
    <cellStyle name="Процентный 3 4 6 2 5" xfId="15922"/>
    <cellStyle name="Процентный 3 4 6 3" xfId="15923"/>
    <cellStyle name="Процентный 3 4 6 3 2" xfId="15924"/>
    <cellStyle name="Процентный 3 4 6 3 3" xfId="15925"/>
    <cellStyle name="Процентный 3 4 6 4" xfId="15926"/>
    <cellStyle name="Процентный 3 4 6 5" xfId="15927"/>
    <cellStyle name="Процентный 3 4 6 6" xfId="15928"/>
    <cellStyle name="Процентный 3 4 7" xfId="15929"/>
    <cellStyle name="Процентный 3 4 7 2" xfId="15930"/>
    <cellStyle name="Процентный 3 4 7 2 2" xfId="15931"/>
    <cellStyle name="Процентный 3 4 7 2 3" xfId="15932"/>
    <cellStyle name="Процентный 3 4 7 3" xfId="15933"/>
    <cellStyle name="Процентный 3 4 7 4" xfId="15934"/>
    <cellStyle name="Процентный 3 4 7 5" xfId="15935"/>
    <cellStyle name="Процентный 3 4 8" xfId="15936"/>
    <cellStyle name="Процентный 3 4 8 2" xfId="15937"/>
    <cellStyle name="Процентный 3 4 8 3" xfId="15938"/>
    <cellStyle name="Процентный 3 4 9" xfId="15939"/>
    <cellStyle name="Процентный 3 5" xfId="15940"/>
    <cellStyle name="Процентный 3 5 10" xfId="15941"/>
    <cellStyle name="Процентный 3 5 2" xfId="15942"/>
    <cellStyle name="Процентный 3 5 3" xfId="15943"/>
    <cellStyle name="Процентный 3 5 3 2" xfId="15944"/>
    <cellStyle name="Процентный 3 5 3 2 2" xfId="15945"/>
    <cellStyle name="Процентный 3 5 3 2 2 2" xfId="15946"/>
    <cellStyle name="Процентный 3 5 3 2 2 3" xfId="15947"/>
    <cellStyle name="Процентный 3 5 3 2 3" xfId="15948"/>
    <cellStyle name="Процентный 3 5 3 2 4" xfId="15949"/>
    <cellStyle name="Процентный 3 5 3 3" xfId="15950"/>
    <cellStyle name="Процентный 3 5 3 3 2" xfId="15951"/>
    <cellStyle name="Процентный 3 5 3 3 3" xfId="15952"/>
    <cellStyle name="Процентный 3 5 3 4" xfId="15953"/>
    <cellStyle name="Процентный 3 5 3 5" xfId="15954"/>
    <cellStyle name="Процентный 3 5 4" xfId="15955"/>
    <cellStyle name="Процентный 3 5 4 2" xfId="15956"/>
    <cellStyle name="Процентный 3 5 4 2 2" xfId="15957"/>
    <cellStyle name="Процентный 3 5 4 2 2 2" xfId="15958"/>
    <cellStyle name="Процентный 3 5 4 2 2 3" xfId="15959"/>
    <cellStyle name="Процентный 3 5 4 2 3" xfId="15960"/>
    <cellStyle name="Процентный 3 5 4 2 4" xfId="15961"/>
    <cellStyle name="Процентный 3 5 4 2 5" xfId="15962"/>
    <cellStyle name="Процентный 3 5 4 3" xfId="15963"/>
    <cellStyle name="Процентный 3 5 4 3 2" xfId="15964"/>
    <cellStyle name="Процентный 3 5 4 3 3" xfId="15965"/>
    <cellStyle name="Процентный 3 5 4 4" xfId="15966"/>
    <cellStyle name="Процентный 3 5 4 5" xfId="15967"/>
    <cellStyle name="Процентный 3 5 4 6" xfId="15968"/>
    <cellStyle name="Процентный 3 5 5" xfId="15969"/>
    <cellStyle name="Процентный 3 5 5 2" xfId="15970"/>
    <cellStyle name="Процентный 3 5 5 2 2" xfId="15971"/>
    <cellStyle name="Процентный 3 5 5 2 2 2" xfId="15972"/>
    <cellStyle name="Процентный 3 5 5 2 2 3" xfId="15973"/>
    <cellStyle name="Процентный 3 5 5 2 3" xfId="15974"/>
    <cellStyle name="Процентный 3 5 5 2 4" xfId="15975"/>
    <cellStyle name="Процентный 3 5 5 2 5" xfId="15976"/>
    <cellStyle name="Процентный 3 5 5 3" xfId="15977"/>
    <cellStyle name="Процентный 3 5 5 3 2" xfId="15978"/>
    <cellStyle name="Процентный 3 5 5 3 3" xfId="15979"/>
    <cellStyle name="Процентный 3 5 5 4" xfId="15980"/>
    <cellStyle name="Процентный 3 5 5 5" xfId="15981"/>
    <cellStyle name="Процентный 3 5 5 6" xfId="15982"/>
    <cellStyle name="Процентный 3 5 6" xfId="15983"/>
    <cellStyle name="Процентный 3 5 6 2" xfId="15984"/>
    <cellStyle name="Процентный 3 5 6 2 2" xfId="15985"/>
    <cellStyle name="Процентный 3 5 6 2 2 2" xfId="15986"/>
    <cellStyle name="Процентный 3 5 6 2 2 3" xfId="15987"/>
    <cellStyle name="Процентный 3 5 6 2 3" xfId="15988"/>
    <cellStyle name="Процентный 3 5 6 2 4" xfId="15989"/>
    <cellStyle name="Процентный 3 5 6 2 5" xfId="15990"/>
    <cellStyle name="Процентный 3 5 6 3" xfId="15991"/>
    <cellStyle name="Процентный 3 5 6 3 2" xfId="15992"/>
    <cellStyle name="Процентный 3 5 6 3 3" xfId="15993"/>
    <cellStyle name="Процентный 3 5 6 4" xfId="15994"/>
    <cellStyle name="Процентный 3 5 6 5" xfId="15995"/>
    <cellStyle name="Процентный 3 5 6 6" xfId="15996"/>
    <cellStyle name="Процентный 3 5 7" xfId="15997"/>
    <cellStyle name="Процентный 3 5 7 2" xfId="15998"/>
    <cellStyle name="Процентный 3 5 7 2 2" xfId="15999"/>
    <cellStyle name="Процентный 3 5 7 2 3" xfId="16000"/>
    <cellStyle name="Процентный 3 5 7 3" xfId="16001"/>
    <cellStyle name="Процентный 3 5 7 4" xfId="16002"/>
    <cellStyle name="Процентный 3 5 7 5" xfId="16003"/>
    <cellStyle name="Процентный 3 5 8" xfId="16004"/>
    <cellStyle name="Процентный 3 5 8 2" xfId="16005"/>
    <cellStyle name="Процентный 3 5 8 3" xfId="16006"/>
    <cellStyle name="Процентный 3 5 9" xfId="16007"/>
    <cellStyle name="Процентный 3 6" xfId="16008"/>
    <cellStyle name="Процентный 3 6 10" xfId="16009"/>
    <cellStyle name="Процентный 3 6 2" xfId="16010"/>
    <cellStyle name="Процентный 3 6 3" xfId="16011"/>
    <cellStyle name="Процентный 3 6 3 2" xfId="16012"/>
    <cellStyle name="Процентный 3 6 3 2 2" xfId="16013"/>
    <cellStyle name="Процентный 3 6 3 2 2 2" xfId="16014"/>
    <cellStyle name="Процентный 3 6 3 2 2 3" xfId="16015"/>
    <cellStyle name="Процентный 3 6 3 2 3" xfId="16016"/>
    <cellStyle name="Процентный 3 6 3 2 4" xfId="16017"/>
    <cellStyle name="Процентный 3 6 3 3" xfId="16018"/>
    <cellStyle name="Процентный 3 6 3 3 2" xfId="16019"/>
    <cellStyle name="Процентный 3 6 3 3 3" xfId="16020"/>
    <cellStyle name="Процентный 3 6 3 4" xfId="16021"/>
    <cellStyle name="Процентный 3 6 3 5" xfId="16022"/>
    <cellStyle name="Процентный 3 6 4" xfId="16023"/>
    <cellStyle name="Процентный 3 6 4 2" xfId="16024"/>
    <cellStyle name="Процентный 3 6 4 2 2" xfId="16025"/>
    <cellStyle name="Процентный 3 6 4 2 2 2" xfId="16026"/>
    <cellStyle name="Процентный 3 6 4 2 2 3" xfId="16027"/>
    <cellStyle name="Процентный 3 6 4 2 3" xfId="16028"/>
    <cellStyle name="Процентный 3 6 4 2 4" xfId="16029"/>
    <cellStyle name="Процентный 3 6 4 2 5" xfId="16030"/>
    <cellStyle name="Процентный 3 6 4 3" xfId="16031"/>
    <cellStyle name="Процентный 3 6 4 3 2" xfId="16032"/>
    <cellStyle name="Процентный 3 6 4 3 3" xfId="16033"/>
    <cellStyle name="Процентный 3 6 4 4" xfId="16034"/>
    <cellStyle name="Процентный 3 6 4 5" xfId="16035"/>
    <cellStyle name="Процентный 3 6 4 6" xfId="16036"/>
    <cellStyle name="Процентный 3 6 5" xfId="16037"/>
    <cellStyle name="Процентный 3 6 5 2" xfId="16038"/>
    <cellStyle name="Процентный 3 6 5 2 2" xfId="16039"/>
    <cellStyle name="Процентный 3 6 5 2 2 2" xfId="16040"/>
    <cellStyle name="Процентный 3 6 5 2 2 3" xfId="16041"/>
    <cellStyle name="Процентный 3 6 5 2 3" xfId="16042"/>
    <cellStyle name="Процентный 3 6 5 2 4" xfId="16043"/>
    <cellStyle name="Процентный 3 6 5 2 5" xfId="16044"/>
    <cellStyle name="Процентный 3 6 5 3" xfId="16045"/>
    <cellStyle name="Процентный 3 6 5 3 2" xfId="16046"/>
    <cellStyle name="Процентный 3 6 5 3 3" xfId="16047"/>
    <cellStyle name="Процентный 3 6 5 4" xfId="16048"/>
    <cellStyle name="Процентный 3 6 5 5" xfId="16049"/>
    <cellStyle name="Процентный 3 6 5 6" xfId="16050"/>
    <cellStyle name="Процентный 3 6 6" xfId="16051"/>
    <cellStyle name="Процентный 3 6 6 2" xfId="16052"/>
    <cellStyle name="Процентный 3 6 6 2 2" xfId="16053"/>
    <cellStyle name="Процентный 3 6 6 2 2 2" xfId="16054"/>
    <cellStyle name="Процентный 3 6 6 2 2 3" xfId="16055"/>
    <cellStyle name="Процентный 3 6 6 2 3" xfId="16056"/>
    <cellStyle name="Процентный 3 6 6 2 4" xfId="16057"/>
    <cellStyle name="Процентный 3 6 6 2 5" xfId="16058"/>
    <cellStyle name="Процентный 3 6 6 3" xfId="16059"/>
    <cellStyle name="Процентный 3 6 6 3 2" xfId="16060"/>
    <cellStyle name="Процентный 3 6 6 3 3" xfId="16061"/>
    <cellStyle name="Процентный 3 6 6 4" xfId="16062"/>
    <cellStyle name="Процентный 3 6 6 5" xfId="16063"/>
    <cellStyle name="Процентный 3 6 6 6" xfId="16064"/>
    <cellStyle name="Процентный 3 6 7" xfId="16065"/>
    <cellStyle name="Процентный 3 6 7 2" xfId="16066"/>
    <cellStyle name="Процентный 3 6 7 2 2" xfId="16067"/>
    <cellStyle name="Процентный 3 6 7 2 3" xfId="16068"/>
    <cellStyle name="Процентный 3 6 7 3" xfId="16069"/>
    <cellStyle name="Процентный 3 6 7 4" xfId="16070"/>
    <cellStyle name="Процентный 3 6 7 5" xfId="16071"/>
    <cellStyle name="Процентный 3 6 8" xfId="16072"/>
    <cellStyle name="Процентный 3 6 8 2" xfId="16073"/>
    <cellStyle name="Процентный 3 6 8 3" xfId="16074"/>
    <cellStyle name="Процентный 3 6 9" xfId="16075"/>
    <cellStyle name="Процентный 3 7" xfId="16076"/>
    <cellStyle name="Процентный 3 7 10" xfId="16077"/>
    <cellStyle name="Процентный 3 7 2" xfId="16078"/>
    <cellStyle name="Процентный 3 7 2 2" xfId="16079"/>
    <cellStyle name="Процентный 3 7 2 2 2" xfId="16080"/>
    <cellStyle name="Процентный 3 7 2 2 2 2" xfId="16081"/>
    <cellStyle name="Процентный 3 7 2 2 2 3" xfId="16082"/>
    <cellStyle name="Процентный 3 7 2 2 3" xfId="16083"/>
    <cellStyle name="Процентный 3 7 2 2 4" xfId="16084"/>
    <cellStyle name="Процентный 3 7 2 2 5" xfId="16085"/>
    <cellStyle name="Процентный 3 7 2 3" xfId="16086"/>
    <cellStyle name="Процентный 3 7 2 3 2" xfId="16087"/>
    <cellStyle name="Процентный 3 7 2 3 3" xfId="16088"/>
    <cellStyle name="Процентный 3 7 2 4" xfId="16089"/>
    <cellStyle name="Процентный 3 7 2 5" xfId="16090"/>
    <cellStyle name="Процентный 3 7 3" xfId="16091"/>
    <cellStyle name="Процентный 3 7 3 2" xfId="16092"/>
    <cellStyle name="Процентный 3 7 3 2 2" xfId="16093"/>
    <cellStyle name="Процентный 3 7 3 2 2 2" xfId="16094"/>
    <cellStyle name="Процентный 3 7 3 2 2 3" xfId="16095"/>
    <cellStyle name="Процентный 3 7 3 2 3" xfId="16096"/>
    <cellStyle name="Процентный 3 7 3 2 4" xfId="16097"/>
    <cellStyle name="Процентный 3 7 3 3" xfId="16098"/>
    <cellStyle name="Процентный 3 7 3 3 2" xfId="16099"/>
    <cellStyle name="Процентный 3 7 3 3 3" xfId="16100"/>
    <cellStyle name="Процентный 3 7 3 4" xfId="16101"/>
    <cellStyle name="Процентный 3 7 3 5" xfId="16102"/>
    <cellStyle name="Процентный 3 7 4" xfId="16103"/>
    <cellStyle name="Процентный 3 7 4 2" xfId="16104"/>
    <cellStyle name="Процентный 3 7 4 2 2" xfId="16105"/>
    <cellStyle name="Процентный 3 7 4 2 2 2" xfId="16106"/>
    <cellStyle name="Процентный 3 7 4 2 2 3" xfId="16107"/>
    <cellStyle name="Процентный 3 7 4 2 3" xfId="16108"/>
    <cellStyle name="Процентный 3 7 4 2 4" xfId="16109"/>
    <cellStyle name="Процентный 3 7 4 2 5" xfId="16110"/>
    <cellStyle name="Процентный 3 7 4 3" xfId="16111"/>
    <cellStyle name="Процентный 3 7 4 3 2" xfId="16112"/>
    <cellStyle name="Процентный 3 7 4 3 3" xfId="16113"/>
    <cellStyle name="Процентный 3 7 4 4" xfId="16114"/>
    <cellStyle name="Процентный 3 7 4 5" xfId="16115"/>
    <cellStyle name="Процентный 3 7 4 6" xfId="16116"/>
    <cellStyle name="Процентный 3 7 5" xfId="16117"/>
    <cellStyle name="Процентный 3 7 5 2" xfId="16118"/>
    <cellStyle name="Процентный 3 7 5 2 2" xfId="16119"/>
    <cellStyle name="Процентный 3 7 5 2 2 2" xfId="16120"/>
    <cellStyle name="Процентный 3 7 5 2 2 3" xfId="16121"/>
    <cellStyle name="Процентный 3 7 5 2 3" xfId="16122"/>
    <cellStyle name="Процентный 3 7 5 2 4" xfId="16123"/>
    <cellStyle name="Процентный 3 7 5 2 5" xfId="16124"/>
    <cellStyle name="Процентный 3 7 5 3" xfId="16125"/>
    <cellStyle name="Процентный 3 7 5 3 2" xfId="16126"/>
    <cellStyle name="Процентный 3 7 5 3 3" xfId="16127"/>
    <cellStyle name="Процентный 3 7 5 4" xfId="16128"/>
    <cellStyle name="Процентный 3 7 5 5" xfId="16129"/>
    <cellStyle name="Процентный 3 7 5 6" xfId="16130"/>
    <cellStyle name="Процентный 3 7 6" xfId="16131"/>
    <cellStyle name="Процентный 3 7 6 2" xfId="16132"/>
    <cellStyle name="Процентный 3 7 6 2 2" xfId="16133"/>
    <cellStyle name="Процентный 3 7 6 2 2 2" xfId="16134"/>
    <cellStyle name="Процентный 3 7 6 2 2 3" xfId="16135"/>
    <cellStyle name="Процентный 3 7 6 2 3" xfId="16136"/>
    <cellStyle name="Процентный 3 7 6 2 4" xfId="16137"/>
    <cellStyle name="Процентный 3 7 6 2 5" xfId="16138"/>
    <cellStyle name="Процентный 3 7 6 3" xfId="16139"/>
    <cellStyle name="Процентный 3 7 6 3 2" xfId="16140"/>
    <cellStyle name="Процентный 3 7 6 3 3" xfId="16141"/>
    <cellStyle name="Процентный 3 7 6 4" xfId="16142"/>
    <cellStyle name="Процентный 3 7 6 5" xfId="16143"/>
    <cellStyle name="Процентный 3 7 6 6" xfId="16144"/>
    <cellStyle name="Процентный 3 7 7" xfId="16145"/>
    <cellStyle name="Процентный 3 7 7 2" xfId="16146"/>
    <cellStyle name="Процентный 3 7 7 2 2" xfId="16147"/>
    <cellStyle name="Процентный 3 7 7 2 3" xfId="16148"/>
    <cellStyle name="Процентный 3 7 7 3" xfId="16149"/>
    <cellStyle name="Процентный 3 7 7 4" xfId="16150"/>
    <cellStyle name="Процентный 3 7 7 5" xfId="16151"/>
    <cellStyle name="Процентный 3 7 8" xfId="16152"/>
    <cellStyle name="Процентный 3 7 8 2" xfId="16153"/>
    <cellStyle name="Процентный 3 7 8 3" xfId="16154"/>
    <cellStyle name="Процентный 3 7 9" xfId="16155"/>
    <cellStyle name="Процентный 3 8" xfId="16156"/>
    <cellStyle name="Процентный 3 8 2" xfId="16157"/>
    <cellStyle name="Процентный 3 8 2 2" xfId="16158"/>
    <cellStyle name="Процентный 3 8 2 2 2" xfId="16159"/>
    <cellStyle name="Процентный 3 8 2 2 3" xfId="16160"/>
    <cellStyle name="Процентный 3 8 2 3" xfId="16161"/>
    <cellStyle name="Процентный 3 8 2 4" xfId="16162"/>
    <cellStyle name="Процентный 3 8 2 5" xfId="16163"/>
    <cellStyle name="Процентный 3 8 3" xfId="16164"/>
    <cellStyle name="Процентный 3 8 3 2" xfId="16165"/>
    <cellStyle name="Процентный 3 8 3 3" xfId="16166"/>
    <cellStyle name="Процентный 3 8 4" xfId="16167"/>
    <cellStyle name="Процентный 3 8 5" xfId="16168"/>
    <cellStyle name="Процентный 3 9" xfId="16169"/>
    <cellStyle name="Процентный 3 9 2" xfId="16170"/>
    <cellStyle name="Процентный 3 9 2 2" xfId="16171"/>
    <cellStyle name="Процентный 3 9 2 2 2" xfId="16172"/>
    <cellStyle name="Процентный 3 9 2 2 3" xfId="16173"/>
    <cellStyle name="Процентный 3 9 2 3" xfId="16174"/>
    <cellStyle name="Процентный 3 9 2 4" xfId="16175"/>
    <cellStyle name="Процентный 3 9 3" xfId="16176"/>
    <cellStyle name="Процентный 3 9 3 2" xfId="16177"/>
    <cellStyle name="Процентный 3 9 3 3" xfId="16178"/>
    <cellStyle name="Процентный 3 9 4" xfId="16179"/>
    <cellStyle name="Процентный 3 9 5" xfId="16180"/>
    <cellStyle name="Процентный 4" xfId="16181"/>
    <cellStyle name="Процентный 4 2" xfId="16182"/>
    <cellStyle name="Процентный 5" xfId="16183"/>
    <cellStyle name="Процентный 5 10" xfId="16184"/>
    <cellStyle name="Процентный 5 10 2" xfId="16185"/>
    <cellStyle name="Процентный 5 10 2 2" xfId="16186"/>
    <cellStyle name="Процентный 5 10 2 3" xfId="16187"/>
    <cellStyle name="Процентный 5 10 3" xfId="16188"/>
    <cellStyle name="Процентный 5 10 4" xfId="16189"/>
    <cellStyle name="Процентный 5 10 5" xfId="16190"/>
    <cellStyle name="Процентный 5 11" xfId="16191"/>
    <cellStyle name="Процентный 5 11 2" xfId="16192"/>
    <cellStyle name="Процентный 5 11 3" xfId="16193"/>
    <cellStyle name="Процентный 5 12" xfId="16194"/>
    <cellStyle name="Процентный 5 13" xfId="16195"/>
    <cellStyle name="Процентный 5 2" xfId="16196"/>
    <cellStyle name="Процентный 5 2 10" xfId="16197"/>
    <cellStyle name="Процентный 5 2 2" xfId="16198"/>
    <cellStyle name="Процентный 5 2 3" xfId="16199"/>
    <cellStyle name="Процентный 5 2 3 2" xfId="16200"/>
    <cellStyle name="Процентный 5 2 3 2 2" xfId="16201"/>
    <cellStyle name="Процентный 5 2 3 2 2 2" xfId="16202"/>
    <cellStyle name="Процентный 5 2 3 2 2 3" xfId="16203"/>
    <cellStyle name="Процентный 5 2 3 2 3" xfId="16204"/>
    <cellStyle name="Процентный 5 2 3 2 4" xfId="16205"/>
    <cellStyle name="Процентный 5 2 3 3" xfId="16206"/>
    <cellStyle name="Процентный 5 2 3 3 2" xfId="16207"/>
    <cellStyle name="Процентный 5 2 3 3 3" xfId="16208"/>
    <cellStyle name="Процентный 5 2 3 4" xfId="16209"/>
    <cellStyle name="Процентный 5 2 3 5" xfId="16210"/>
    <cellStyle name="Процентный 5 2 4" xfId="16211"/>
    <cellStyle name="Процентный 5 2 4 2" xfId="16212"/>
    <cellStyle name="Процентный 5 2 4 2 2" xfId="16213"/>
    <cellStyle name="Процентный 5 2 4 2 2 2" xfId="16214"/>
    <cellStyle name="Процентный 5 2 4 2 2 3" xfId="16215"/>
    <cellStyle name="Процентный 5 2 4 2 3" xfId="16216"/>
    <cellStyle name="Процентный 5 2 4 2 4" xfId="16217"/>
    <cellStyle name="Процентный 5 2 4 2 5" xfId="16218"/>
    <cellStyle name="Процентный 5 2 4 3" xfId="16219"/>
    <cellStyle name="Процентный 5 2 4 3 2" xfId="16220"/>
    <cellStyle name="Процентный 5 2 4 3 3" xfId="16221"/>
    <cellStyle name="Процентный 5 2 4 4" xfId="16222"/>
    <cellStyle name="Процентный 5 2 4 5" xfId="16223"/>
    <cellStyle name="Процентный 5 2 4 6" xfId="16224"/>
    <cellStyle name="Процентный 5 2 5" xfId="16225"/>
    <cellStyle name="Процентный 5 2 5 2" xfId="16226"/>
    <cellStyle name="Процентный 5 2 5 2 2" xfId="16227"/>
    <cellStyle name="Процентный 5 2 5 2 2 2" xfId="16228"/>
    <cellStyle name="Процентный 5 2 5 2 2 3" xfId="16229"/>
    <cellStyle name="Процентный 5 2 5 2 3" xfId="16230"/>
    <cellStyle name="Процентный 5 2 5 2 4" xfId="16231"/>
    <cellStyle name="Процентный 5 2 5 2 5" xfId="16232"/>
    <cellStyle name="Процентный 5 2 5 3" xfId="16233"/>
    <cellStyle name="Процентный 5 2 5 3 2" xfId="16234"/>
    <cellStyle name="Процентный 5 2 5 3 3" xfId="16235"/>
    <cellStyle name="Процентный 5 2 5 4" xfId="16236"/>
    <cellStyle name="Процентный 5 2 5 5" xfId="16237"/>
    <cellStyle name="Процентный 5 2 5 6" xfId="16238"/>
    <cellStyle name="Процентный 5 2 6" xfId="16239"/>
    <cellStyle name="Процентный 5 2 6 2" xfId="16240"/>
    <cellStyle name="Процентный 5 2 6 2 2" xfId="16241"/>
    <cellStyle name="Процентный 5 2 6 2 2 2" xfId="16242"/>
    <cellStyle name="Процентный 5 2 6 2 2 3" xfId="16243"/>
    <cellStyle name="Процентный 5 2 6 2 3" xfId="16244"/>
    <cellStyle name="Процентный 5 2 6 2 4" xfId="16245"/>
    <cellStyle name="Процентный 5 2 6 2 5" xfId="16246"/>
    <cellStyle name="Процентный 5 2 6 3" xfId="16247"/>
    <cellStyle name="Процентный 5 2 6 3 2" xfId="16248"/>
    <cellStyle name="Процентный 5 2 6 3 3" xfId="16249"/>
    <cellStyle name="Процентный 5 2 6 4" xfId="16250"/>
    <cellStyle name="Процентный 5 2 6 5" xfId="16251"/>
    <cellStyle name="Процентный 5 2 6 6" xfId="16252"/>
    <cellStyle name="Процентный 5 2 7" xfId="16253"/>
    <cellStyle name="Процентный 5 2 7 2" xfId="16254"/>
    <cellStyle name="Процентный 5 2 7 2 2" xfId="16255"/>
    <cellStyle name="Процентный 5 2 7 2 3" xfId="16256"/>
    <cellStyle name="Процентный 5 2 7 3" xfId="16257"/>
    <cellStyle name="Процентный 5 2 7 4" xfId="16258"/>
    <cellStyle name="Процентный 5 2 7 5" xfId="16259"/>
    <cellStyle name="Процентный 5 2 8" xfId="16260"/>
    <cellStyle name="Процентный 5 2 8 2" xfId="16261"/>
    <cellStyle name="Процентный 5 2 8 3" xfId="16262"/>
    <cellStyle name="Процентный 5 2 9" xfId="16263"/>
    <cellStyle name="Процентный 5 3" xfId="16264"/>
    <cellStyle name="Процентный 5 3 10" xfId="16265"/>
    <cellStyle name="Процентный 5 3 2" xfId="16266"/>
    <cellStyle name="Процентный 5 3 3" xfId="16267"/>
    <cellStyle name="Процентный 5 3 3 2" xfId="16268"/>
    <cellStyle name="Процентный 5 3 3 2 2" xfId="16269"/>
    <cellStyle name="Процентный 5 3 3 2 2 2" xfId="16270"/>
    <cellStyle name="Процентный 5 3 3 2 2 3" xfId="16271"/>
    <cellStyle name="Процентный 5 3 3 2 3" xfId="16272"/>
    <cellStyle name="Процентный 5 3 3 2 4" xfId="16273"/>
    <cellStyle name="Процентный 5 3 3 3" xfId="16274"/>
    <cellStyle name="Процентный 5 3 3 3 2" xfId="16275"/>
    <cellStyle name="Процентный 5 3 3 3 3" xfId="16276"/>
    <cellStyle name="Процентный 5 3 3 4" xfId="16277"/>
    <cellStyle name="Процентный 5 3 3 5" xfId="16278"/>
    <cellStyle name="Процентный 5 3 4" xfId="16279"/>
    <cellStyle name="Процентный 5 3 4 2" xfId="16280"/>
    <cellStyle name="Процентный 5 3 4 2 2" xfId="16281"/>
    <cellStyle name="Процентный 5 3 4 2 2 2" xfId="16282"/>
    <cellStyle name="Процентный 5 3 4 2 2 3" xfId="16283"/>
    <cellStyle name="Процентный 5 3 4 2 3" xfId="16284"/>
    <cellStyle name="Процентный 5 3 4 2 4" xfId="16285"/>
    <cellStyle name="Процентный 5 3 4 2 5" xfId="16286"/>
    <cellStyle name="Процентный 5 3 4 3" xfId="16287"/>
    <cellStyle name="Процентный 5 3 4 3 2" xfId="16288"/>
    <cellStyle name="Процентный 5 3 4 3 3" xfId="16289"/>
    <cellStyle name="Процентный 5 3 4 4" xfId="16290"/>
    <cellStyle name="Процентный 5 3 4 5" xfId="16291"/>
    <cellStyle name="Процентный 5 3 4 6" xfId="16292"/>
    <cellStyle name="Процентный 5 3 5" xfId="16293"/>
    <cellStyle name="Процентный 5 3 5 2" xfId="16294"/>
    <cellStyle name="Процентный 5 3 5 2 2" xfId="16295"/>
    <cellStyle name="Процентный 5 3 5 2 2 2" xfId="16296"/>
    <cellStyle name="Процентный 5 3 5 2 2 3" xfId="16297"/>
    <cellStyle name="Процентный 5 3 5 2 3" xfId="16298"/>
    <cellStyle name="Процентный 5 3 5 2 4" xfId="16299"/>
    <cellStyle name="Процентный 5 3 5 2 5" xfId="16300"/>
    <cellStyle name="Процентный 5 3 5 3" xfId="16301"/>
    <cellStyle name="Процентный 5 3 5 3 2" xfId="16302"/>
    <cellStyle name="Процентный 5 3 5 3 3" xfId="16303"/>
    <cellStyle name="Процентный 5 3 5 4" xfId="16304"/>
    <cellStyle name="Процентный 5 3 5 5" xfId="16305"/>
    <cellStyle name="Процентный 5 3 5 6" xfId="16306"/>
    <cellStyle name="Процентный 5 3 6" xfId="16307"/>
    <cellStyle name="Процентный 5 3 6 2" xfId="16308"/>
    <cellStyle name="Процентный 5 3 6 2 2" xfId="16309"/>
    <cellStyle name="Процентный 5 3 6 2 2 2" xfId="16310"/>
    <cellStyle name="Процентный 5 3 6 2 2 3" xfId="16311"/>
    <cellStyle name="Процентный 5 3 6 2 3" xfId="16312"/>
    <cellStyle name="Процентный 5 3 6 2 4" xfId="16313"/>
    <cellStyle name="Процентный 5 3 6 2 5" xfId="16314"/>
    <cellStyle name="Процентный 5 3 6 3" xfId="16315"/>
    <cellStyle name="Процентный 5 3 6 3 2" xfId="16316"/>
    <cellStyle name="Процентный 5 3 6 3 3" xfId="16317"/>
    <cellStyle name="Процентный 5 3 6 4" xfId="16318"/>
    <cellStyle name="Процентный 5 3 6 5" xfId="16319"/>
    <cellStyle name="Процентный 5 3 6 6" xfId="16320"/>
    <cellStyle name="Процентный 5 3 7" xfId="16321"/>
    <cellStyle name="Процентный 5 3 7 2" xfId="16322"/>
    <cellStyle name="Процентный 5 3 7 2 2" xfId="16323"/>
    <cellStyle name="Процентный 5 3 7 2 3" xfId="16324"/>
    <cellStyle name="Процентный 5 3 7 3" xfId="16325"/>
    <cellStyle name="Процентный 5 3 7 4" xfId="16326"/>
    <cellStyle name="Процентный 5 3 7 5" xfId="16327"/>
    <cellStyle name="Процентный 5 3 8" xfId="16328"/>
    <cellStyle name="Процентный 5 3 8 2" xfId="16329"/>
    <cellStyle name="Процентный 5 3 8 3" xfId="16330"/>
    <cellStyle name="Процентный 5 3 9" xfId="16331"/>
    <cellStyle name="Процентный 5 4" xfId="16332"/>
    <cellStyle name="Процентный 5 4 10" xfId="16333"/>
    <cellStyle name="Процентный 5 4 2" xfId="16334"/>
    <cellStyle name="Процентный 5 4 2 2" xfId="16335"/>
    <cellStyle name="Процентный 5 4 2 2 2" xfId="16336"/>
    <cellStyle name="Процентный 5 4 2 2 2 2" xfId="16337"/>
    <cellStyle name="Процентный 5 4 2 2 2 3" xfId="16338"/>
    <cellStyle name="Процентный 5 4 2 2 3" xfId="16339"/>
    <cellStyle name="Процентный 5 4 2 2 4" xfId="16340"/>
    <cellStyle name="Процентный 5 4 2 2 5" xfId="16341"/>
    <cellStyle name="Процентный 5 4 2 3" xfId="16342"/>
    <cellStyle name="Процентный 5 4 2 3 2" xfId="16343"/>
    <cellStyle name="Процентный 5 4 2 3 3" xfId="16344"/>
    <cellStyle name="Процентный 5 4 2 4" xfId="16345"/>
    <cellStyle name="Процентный 5 4 2 5" xfId="16346"/>
    <cellStyle name="Процентный 5 4 3" xfId="16347"/>
    <cellStyle name="Процентный 5 4 3 2" xfId="16348"/>
    <cellStyle name="Процентный 5 4 3 2 2" xfId="16349"/>
    <cellStyle name="Процентный 5 4 3 2 2 2" xfId="16350"/>
    <cellStyle name="Процентный 5 4 3 2 2 3" xfId="16351"/>
    <cellStyle name="Процентный 5 4 3 2 3" xfId="16352"/>
    <cellStyle name="Процентный 5 4 3 2 4" xfId="16353"/>
    <cellStyle name="Процентный 5 4 3 3" xfId="16354"/>
    <cellStyle name="Процентный 5 4 3 3 2" xfId="16355"/>
    <cellStyle name="Процентный 5 4 3 3 3" xfId="16356"/>
    <cellStyle name="Процентный 5 4 3 4" xfId="16357"/>
    <cellStyle name="Процентный 5 4 3 5" xfId="16358"/>
    <cellStyle name="Процентный 5 4 4" xfId="16359"/>
    <cellStyle name="Процентный 5 4 4 2" xfId="16360"/>
    <cellStyle name="Процентный 5 4 4 2 2" xfId="16361"/>
    <cellStyle name="Процентный 5 4 4 2 2 2" xfId="16362"/>
    <cellStyle name="Процентный 5 4 4 2 2 3" xfId="16363"/>
    <cellStyle name="Процентный 5 4 4 2 3" xfId="16364"/>
    <cellStyle name="Процентный 5 4 4 2 4" xfId="16365"/>
    <cellStyle name="Процентный 5 4 4 2 5" xfId="16366"/>
    <cellStyle name="Процентный 5 4 4 3" xfId="16367"/>
    <cellStyle name="Процентный 5 4 4 3 2" xfId="16368"/>
    <cellStyle name="Процентный 5 4 4 3 3" xfId="16369"/>
    <cellStyle name="Процентный 5 4 4 4" xfId="16370"/>
    <cellStyle name="Процентный 5 4 4 5" xfId="16371"/>
    <cellStyle name="Процентный 5 4 4 6" xfId="16372"/>
    <cellStyle name="Процентный 5 4 5" xfId="16373"/>
    <cellStyle name="Процентный 5 4 5 2" xfId="16374"/>
    <cellStyle name="Процентный 5 4 5 2 2" xfId="16375"/>
    <cellStyle name="Процентный 5 4 5 2 2 2" xfId="16376"/>
    <cellStyle name="Процентный 5 4 5 2 2 3" xfId="16377"/>
    <cellStyle name="Процентный 5 4 5 2 3" xfId="16378"/>
    <cellStyle name="Процентный 5 4 5 2 4" xfId="16379"/>
    <cellStyle name="Процентный 5 4 5 2 5" xfId="16380"/>
    <cellStyle name="Процентный 5 4 5 3" xfId="16381"/>
    <cellStyle name="Процентный 5 4 5 3 2" xfId="16382"/>
    <cellStyle name="Процентный 5 4 5 3 3" xfId="16383"/>
    <cellStyle name="Процентный 5 4 5 4" xfId="16384"/>
    <cellStyle name="Процентный 5 4 5 5" xfId="16385"/>
    <cellStyle name="Процентный 5 4 5 6" xfId="16386"/>
    <cellStyle name="Процентный 5 4 6" xfId="16387"/>
    <cellStyle name="Процентный 5 4 6 2" xfId="16388"/>
    <cellStyle name="Процентный 5 4 6 2 2" xfId="16389"/>
    <cellStyle name="Процентный 5 4 6 2 2 2" xfId="16390"/>
    <cellStyle name="Процентный 5 4 6 2 2 3" xfId="16391"/>
    <cellStyle name="Процентный 5 4 6 2 3" xfId="16392"/>
    <cellStyle name="Процентный 5 4 6 2 4" xfId="16393"/>
    <cellStyle name="Процентный 5 4 6 2 5" xfId="16394"/>
    <cellStyle name="Процентный 5 4 6 3" xfId="16395"/>
    <cellStyle name="Процентный 5 4 6 3 2" xfId="16396"/>
    <cellStyle name="Процентный 5 4 6 3 3" xfId="16397"/>
    <cellStyle name="Процентный 5 4 6 4" xfId="16398"/>
    <cellStyle name="Процентный 5 4 6 5" xfId="16399"/>
    <cellStyle name="Процентный 5 4 6 6" xfId="16400"/>
    <cellStyle name="Процентный 5 4 7" xfId="16401"/>
    <cellStyle name="Процентный 5 4 7 2" xfId="16402"/>
    <cellStyle name="Процентный 5 4 7 2 2" xfId="16403"/>
    <cellStyle name="Процентный 5 4 7 2 3" xfId="16404"/>
    <cellStyle name="Процентный 5 4 7 3" xfId="16405"/>
    <cellStyle name="Процентный 5 4 7 4" xfId="16406"/>
    <cellStyle name="Процентный 5 4 7 5" xfId="16407"/>
    <cellStyle name="Процентный 5 4 8" xfId="16408"/>
    <cellStyle name="Процентный 5 4 8 2" xfId="16409"/>
    <cellStyle name="Процентный 5 4 8 3" xfId="16410"/>
    <cellStyle name="Процентный 5 4 9" xfId="16411"/>
    <cellStyle name="Процентный 5 5" xfId="16412"/>
    <cellStyle name="Процентный 5 6" xfId="16413"/>
    <cellStyle name="Процентный 5 6 2" xfId="16414"/>
    <cellStyle name="Процентный 5 6 2 2" xfId="16415"/>
    <cellStyle name="Процентный 5 6 2 2 2" xfId="16416"/>
    <cellStyle name="Процентный 5 6 2 2 3" xfId="16417"/>
    <cellStyle name="Процентный 5 6 2 3" xfId="16418"/>
    <cellStyle name="Процентный 5 6 2 4" xfId="16419"/>
    <cellStyle name="Процентный 5 6 3" xfId="16420"/>
    <cellStyle name="Процентный 5 6 3 2" xfId="16421"/>
    <cellStyle name="Процентный 5 6 3 3" xfId="16422"/>
    <cellStyle name="Процентный 5 6 4" xfId="16423"/>
    <cellStyle name="Процентный 5 6 5" xfId="16424"/>
    <cellStyle name="Процентный 5 7" xfId="16425"/>
    <cellStyle name="Процентный 5 7 2" xfId="16426"/>
    <cellStyle name="Процентный 5 7 2 2" xfId="16427"/>
    <cellStyle name="Процентный 5 7 2 2 2" xfId="16428"/>
    <cellStyle name="Процентный 5 7 2 2 3" xfId="16429"/>
    <cellStyle name="Процентный 5 7 2 3" xfId="16430"/>
    <cellStyle name="Процентный 5 7 2 4" xfId="16431"/>
    <cellStyle name="Процентный 5 7 2 5" xfId="16432"/>
    <cellStyle name="Процентный 5 7 3" xfId="16433"/>
    <cellStyle name="Процентный 5 7 3 2" xfId="16434"/>
    <cellStyle name="Процентный 5 7 3 3" xfId="16435"/>
    <cellStyle name="Процентный 5 7 4" xfId="16436"/>
    <cellStyle name="Процентный 5 7 5" xfId="16437"/>
    <cellStyle name="Процентный 5 7 6" xfId="16438"/>
    <cellStyle name="Процентный 5 8" xfId="16439"/>
    <cellStyle name="Процентный 5 8 2" xfId="16440"/>
    <cellStyle name="Процентный 5 8 2 2" xfId="16441"/>
    <cellStyle name="Процентный 5 8 2 2 2" xfId="16442"/>
    <cellStyle name="Процентный 5 8 2 2 3" xfId="16443"/>
    <cellStyle name="Процентный 5 8 2 3" xfId="16444"/>
    <cellStyle name="Процентный 5 8 2 4" xfId="16445"/>
    <cellStyle name="Процентный 5 8 2 5" xfId="16446"/>
    <cellStyle name="Процентный 5 8 3" xfId="16447"/>
    <cellStyle name="Процентный 5 8 3 2" xfId="16448"/>
    <cellStyle name="Процентный 5 8 3 3" xfId="16449"/>
    <cellStyle name="Процентный 5 8 4" xfId="16450"/>
    <cellStyle name="Процентный 5 8 5" xfId="16451"/>
    <cellStyle name="Процентный 5 8 6" xfId="16452"/>
    <cellStyle name="Процентный 5 9" xfId="16453"/>
    <cellStyle name="Процентный 5 9 2" xfId="16454"/>
    <cellStyle name="Процентный 5 9 2 2" xfId="16455"/>
    <cellStyle name="Процентный 5 9 2 2 2" xfId="16456"/>
    <cellStyle name="Процентный 5 9 2 2 3" xfId="16457"/>
    <cellStyle name="Процентный 5 9 2 3" xfId="16458"/>
    <cellStyle name="Процентный 5 9 2 4" xfId="16459"/>
    <cellStyle name="Процентный 5 9 2 5" xfId="16460"/>
    <cellStyle name="Процентный 5 9 3" xfId="16461"/>
    <cellStyle name="Процентный 5 9 3 2" xfId="16462"/>
    <cellStyle name="Процентный 5 9 3 3" xfId="16463"/>
    <cellStyle name="Процентный 5 9 4" xfId="16464"/>
    <cellStyle name="Процентный 5 9 5" xfId="16465"/>
    <cellStyle name="Процентный 5 9 6" xfId="16466"/>
    <cellStyle name="Процентный 6" xfId="16467"/>
    <cellStyle name="Процентный 6 2" xfId="16468"/>
    <cellStyle name="Процентный 6 3" xfId="16469"/>
    <cellStyle name="Процентный 7" xfId="16470"/>
    <cellStyle name="Процентный 7 2" xfId="16471"/>
    <cellStyle name="Процентный 7 2 2" xfId="16472"/>
    <cellStyle name="Процентный 7 2 2 2" xfId="16473"/>
    <cellStyle name="Процентный 7 2 2 3" xfId="16474"/>
    <cellStyle name="Процентный 7 2 3" xfId="16475"/>
    <cellStyle name="Процентный 7 2 4" xfId="16476"/>
    <cellStyle name="Процентный 7 2 5" xfId="16477"/>
    <cellStyle name="Процентный 7 3" xfId="16478"/>
    <cellStyle name="Процентный 7 3 2" xfId="16479"/>
    <cellStyle name="Процентный 7 3 3" xfId="16480"/>
    <cellStyle name="Процентный 7 4" xfId="16481"/>
    <cellStyle name="Процентный 7 5" xfId="16482"/>
    <cellStyle name="Процентный 7 6" xfId="16483"/>
    <cellStyle name="Процентный 8" xfId="16484"/>
    <cellStyle name="Процентный 8 2" xfId="16485"/>
    <cellStyle name="Процентный 8 2 2" xfId="16486"/>
    <cellStyle name="Процентный 8 2 2 2" xfId="16487"/>
    <cellStyle name="Процентный 8 2 2 3" xfId="16488"/>
    <cellStyle name="Процентный 8 2 3" xfId="16489"/>
    <cellStyle name="Процентный 8 2 4" xfId="16490"/>
    <cellStyle name="Процентный 8 2 5" xfId="16491"/>
    <cellStyle name="Процентный 8 3" xfId="16492"/>
    <cellStyle name="Процентный 8 3 2" xfId="16493"/>
    <cellStyle name="Процентный 8 3 2 2" xfId="16494"/>
    <cellStyle name="Процентный 8 3 2 3" xfId="16495"/>
    <cellStyle name="Процентный 8 3 3" xfId="16496"/>
    <cellStyle name="Процентный 8 3 4" xfId="16497"/>
    <cellStyle name="Процентный 8 3 5" xfId="16498"/>
    <cellStyle name="Процентный 8 4" xfId="16499"/>
    <cellStyle name="Процентный 8 4 2" xfId="16500"/>
    <cellStyle name="Процентный 8 4 3" xfId="16501"/>
    <cellStyle name="Процентный 8 5" xfId="16502"/>
    <cellStyle name="Процентный 8 6" xfId="16503"/>
    <cellStyle name="Процентный 9" xfId="16504"/>
    <cellStyle name="Процентный 9 2" xfId="16505"/>
    <cellStyle name="Процентный 9 2 2" xfId="16506"/>
    <cellStyle name="Процентный 9 2 3" xfId="16507"/>
    <cellStyle name="Процентный 9 3" xfId="16508"/>
    <cellStyle name="Процентный 9 4" xfId="16509"/>
    <cellStyle name="Процентный 9 5" xfId="16510"/>
    <cellStyle name="Связанная ячейка 2" xfId="16511"/>
    <cellStyle name="Связанная ячейка 2 2" xfId="16512"/>
    <cellStyle name="Связанная ячейка 3" xfId="16513"/>
    <cellStyle name="Связанная ячейка 3 2" xfId="16514"/>
    <cellStyle name="Стиль 1" xfId="16515"/>
    <cellStyle name="Стиль 2" xfId="16516"/>
    <cellStyle name="Стиль_названий" xfId="16517"/>
    <cellStyle name="Строка нечётная" xfId="16518"/>
    <cellStyle name="Строка нечётная 2" xfId="16519"/>
    <cellStyle name="Строка нечётная 2 2" xfId="16520"/>
    <cellStyle name="Строка нечётная 2 2 2" xfId="16521"/>
    <cellStyle name="Строка нечётная 2 2 2 2" xfId="16522"/>
    <cellStyle name="Строка нечётная 2 2 3" xfId="16523"/>
    <cellStyle name="Строка нечётная 2 2 3 2" xfId="16524"/>
    <cellStyle name="Строка нечётная 2 2 4" xfId="16525"/>
    <cellStyle name="Строка нечётная 2 2 5" xfId="16526"/>
    <cellStyle name="Строка нечётная 2 2 6" xfId="16527"/>
    <cellStyle name="Строка нечётная 2 2 7" xfId="16528"/>
    <cellStyle name="Строка нечётная 2 3" xfId="16529"/>
    <cellStyle name="Строка нечётная 2 3 2" xfId="16530"/>
    <cellStyle name="Строка нечётная 2 4" xfId="16531"/>
    <cellStyle name="Строка нечётная 3" xfId="16532"/>
    <cellStyle name="Строка нечётная 3 2" xfId="16533"/>
    <cellStyle name="Строка нечётная 3 2 2" xfId="16534"/>
    <cellStyle name="Строка нечётная 3 3" xfId="16535"/>
    <cellStyle name="Строка нечётная 3 3 2" xfId="16536"/>
    <cellStyle name="Строка нечётная 3 4" xfId="16537"/>
    <cellStyle name="Строка нечётная 3 5" xfId="16538"/>
    <cellStyle name="Строка нечётная 3 6" xfId="16539"/>
    <cellStyle name="Строка нечётная 3 7" xfId="16540"/>
    <cellStyle name="Строка нечётная 4" xfId="16541"/>
    <cellStyle name="Строка нечётная 4 2" xfId="16542"/>
    <cellStyle name="Строка нечётная 5" xfId="16543"/>
    <cellStyle name="Строка нечётная_1 ВАР. КП 1 293  +8пропорцЛара" xfId="16544"/>
    <cellStyle name="Строка чётная" xfId="16545"/>
    <cellStyle name="Строка чётная 2" xfId="16546"/>
    <cellStyle name="Строка чётная 2 2" xfId="16547"/>
    <cellStyle name="Строка чётная 2 2 2" xfId="16548"/>
    <cellStyle name="Строка чётная 2 2 2 2" xfId="16549"/>
    <cellStyle name="Строка чётная 2 2 3" xfId="16550"/>
    <cellStyle name="Строка чётная 2 2 3 2" xfId="16551"/>
    <cellStyle name="Строка чётная 2 2 4" xfId="16552"/>
    <cellStyle name="Строка чётная 2 2 5" xfId="16553"/>
    <cellStyle name="Строка чётная 2 2 6" xfId="16554"/>
    <cellStyle name="Строка чётная 2 2 7" xfId="16555"/>
    <cellStyle name="Строка чётная 2 3" xfId="16556"/>
    <cellStyle name="Строка чётная 2 3 2" xfId="16557"/>
    <cellStyle name="Строка чётная 2 4" xfId="16558"/>
    <cellStyle name="Строка чётная 3" xfId="16559"/>
    <cellStyle name="Строка чётная 3 2" xfId="16560"/>
    <cellStyle name="Строка чётная 3 2 2" xfId="16561"/>
    <cellStyle name="Строка чётная 3 3" xfId="16562"/>
    <cellStyle name="Строка чётная 3 3 2" xfId="16563"/>
    <cellStyle name="Строка чётная 3 4" xfId="16564"/>
    <cellStyle name="Строка чётная 3 5" xfId="16565"/>
    <cellStyle name="Строка чётная 3 6" xfId="16566"/>
    <cellStyle name="Строка чётная 3 7" xfId="16567"/>
    <cellStyle name="Строка чётная 4" xfId="16568"/>
    <cellStyle name="Строка чётная 4 2" xfId="16569"/>
    <cellStyle name="Строка чётная 5" xfId="16570"/>
    <cellStyle name="Строка чётная_1 ВАР. КП 1 293  +8пропорцЛара" xfId="16571"/>
    <cellStyle name="Текст предупреждения 2" xfId="16572"/>
    <cellStyle name="Текст предупреждения 2 2" xfId="16573"/>
    <cellStyle name="Текст предупреждения 3" xfId="16574"/>
    <cellStyle name="Текст предупреждения 3 2" xfId="16575"/>
    <cellStyle name="тонны" xfId="16576"/>
    <cellStyle name="Тысячи [0]_27.02 скоррект. " xfId="16577"/>
    <cellStyle name="Тысячи [а]" xfId="16578"/>
    <cellStyle name="Тысячи [а] 10" xfId="16579"/>
    <cellStyle name="Тысячи [а] 11" xfId="16580"/>
    <cellStyle name="Тысячи [а] 2" xfId="16581"/>
    <cellStyle name="Тысячи [а] 2 10" xfId="16582"/>
    <cellStyle name="Тысячи [а] 2 2" xfId="16583"/>
    <cellStyle name="Тысячи [а] 2 2 2" xfId="16584"/>
    <cellStyle name="Тысячи [а] 2 2 2 2" xfId="16585"/>
    <cellStyle name="Тысячи [а] 2 2 2 2 2" xfId="16586"/>
    <cellStyle name="Тысячи [а] 2 2 2 2 3" xfId="16587"/>
    <cellStyle name="Тысячи [а] 2 2 2 2 4" xfId="16588"/>
    <cellStyle name="Тысячи [а] 2 2 2 2 5" xfId="16589"/>
    <cellStyle name="Тысячи [а] 2 2 2 3" xfId="16590"/>
    <cellStyle name="Тысячи [а] 2 2 2 4" xfId="16591"/>
    <cellStyle name="Тысячи [а] 2 2 3" xfId="16592"/>
    <cellStyle name="Тысячи [а] 2 2 3 2" xfId="16593"/>
    <cellStyle name="Тысячи [а] 2 2 3 3" xfId="16594"/>
    <cellStyle name="Тысячи [а] 2 2 3 4" xfId="16595"/>
    <cellStyle name="Тысячи [а] 2 2 3 5" xfId="16596"/>
    <cellStyle name="Тысячи [а] 2 2 4" xfId="16597"/>
    <cellStyle name="Тысячи [а] 2 3" xfId="16598"/>
    <cellStyle name="Тысячи [а] 2 3 2" xfId="16599"/>
    <cellStyle name="Тысячи [а] 2 3 2 2" xfId="16600"/>
    <cellStyle name="Тысячи [а] 2 3 2 2 2" xfId="16601"/>
    <cellStyle name="Тысячи [а] 2 3 2 2 3" xfId="16602"/>
    <cellStyle name="Тысячи [а] 2 3 2 2 4" xfId="16603"/>
    <cellStyle name="Тысячи [а] 2 3 2 2 5" xfId="16604"/>
    <cellStyle name="Тысячи [а] 2 3 2 3" xfId="16605"/>
    <cellStyle name="Тысячи [а] 2 3 2 4" xfId="16606"/>
    <cellStyle name="Тысячи [а] 2 3 3" xfId="16607"/>
    <cellStyle name="Тысячи [а] 2 3 3 2" xfId="16608"/>
    <cellStyle name="Тысячи [а] 2 3 3 3" xfId="16609"/>
    <cellStyle name="Тысячи [а] 2 3 3 4" xfId="16610"/>
    <cellStyle name="Тысячи [а] 2 3 3 5" xfId="16611"/>
    <cellStyle name="Тысячи [а] 2 3 4" xfId="16612"/>
    <cellStyle name="Тысячи [а] 2 4" xfId="16613"/>
    <cellStyle name="Тысячи [а] 2 4 2" xfId="16614"/>
    <cellStyle name="Тысячи [а] 2 4 2 2" xfId="16615"/>
    <cellStyle name="Тысячи [а] 2 4 2 2 2" xfId="16616"/>
    <cellStyle name="Тысячи [а] 2 4 2 2 3" xfId="16617"/>
    <cellStyle name="Тысячи [а] 2 4 2 2 4" xfId="16618"/>
    <cellStyle name="Тысячи [а] 2 4 2 2 5" xfId="16619"/>
    <cellStyle name="Тысячи [а] 2 4 2 3" xfId="16620"/>
    <cellStyle name="Тысячи [а] 2 4 2 4" xfId="16621"/>
    <cellStyle name="Тысячи [а] 2 4 3" xfId="16622"/>
    <cellStyle name="Тысячи [а] 2 4 3 2" xfId="16623"/>
    <cellStyle name="Тысячи [а] 2 4 3 3" xfId="16624"/>
    <cellStyle name="Тысячи [а] 2 4 3 4" xfId="16625"/>
    <cellStyle name="Тысячи [а] 2 4 3 5" xfId="16626"/>
    <cellStyle name="Тысячи [а] 2 4 4" xfId="16627"/>
    <cellStyle name="Тысячи [а] 2 5" xfId="16628"/>
    <cellStyle name="Тысячи [а] 2 5 2" xfId="16629"/>
    <cellStyle name="Тысячи [а] 2 5 2 2" xfId="16630"/>
    <cellStyle name="Тысячи [а] 2 5 2 2 2" xfId="16631"/>
    <cellStyle name="Тысячи [а] 2 5 2 2 3" xfId="16632"/>
    <cellStyle name="Тысячи [а] 2 5 2 2 4" xfId="16633"/>
    <cellStyle name="Тысячи [а] 2 5 2 2 5" xfId="16634"/>
    <cellStyle name="Тысячи [а] 2 5 2 3" xfId="16635"/>
    <cellStyle name="Тысячи [а] 2 5 2 4" xfId="16636"/>
    <cellStyle name="Тысячи [а] 2 5 3" xfId="16637"/>
    <cellStyle name="Тысячи [а] 2 5 3 2" xfId="16638"/>
    <cellStyle name="Тысячи [а] 2 5 3 3" xfId="16639"/>
    <cellStyle name="Тысячи [а] 2 5 3 4" xfId="16640"/>
    <cellStyle name="Тысячи [а] 2 5 3 5" xfId="16641"/>
    <cellStyle name="Тысячи [а] 2 5 4" xfId="16642"/>
    <cellStyle name="Тысячи [а] 2 6" xfId="16643"/>
    <cellStyle name="Тысячи [а] 2 6 2" xfId="16644"/>
    <cellStyle name="Тысячи [а] 2 6 2 2" xfId="16645"/>
    <cellStyle name="Тысячи [а] 2 6 2 2 2" xfId="16646"/>
    <cellStyle name="Тысячи [а] 2 6 2 2 3" xfId="16647"/>
    <cellStyle name="Тысячи [а] 2 6 2 2 4" xfId="16648"/>
    <cellStyle name="Тысячи [а] 2 6 2 2 5" xfId="16649"/>
    <cellStyle name="Тысячи [а] 2 6 2 3" xfId="16650"/>
    <cellStyle name="Тысячи [а] 2 6 2 4" xfId="16651"/>
    <cellStyle name="Тысячи [а] 2 6 3" xfId="16652"/>
    <cellStyle name="Тысячи [а] 2 6 3 2" xfId="16653"/>
    <cellStyle name="Тысячи [а] 2 6 3 3" xfId="16654"/>
    <cellStyle name="Тысячи [а] 2 6 3 4" xfId="16655"/>
    <cellStyle name="Тысячи [а] 2 6 3 5" xfId="16656"/>
    <cellStyle name="Тысячи [а] 2 6 4" xfId="16657"/>
    <cellStyle name="Тысячи [а] 2 7" xfId="16658"/>
    <cellStyle name="Тысячи [а] 2 7 2" xfId="16659"/>
    <cellStyle name="Тысячи [а] 2 7 2 2" xfId="16660"/>
    <cellStyle name="Тысячи [а] 2 7 2 2 2" xfId="16661"/>
    <cellStyle name="Тысячи [а] 2 7 2 2 3" xfId="16662"/>
    <cellStyle name="Тысячи [а] 2 7 2 2 4" xfId="16663"/>
    <cellStyle name="Тысячи [а] 2 7 2 2 5" xfId="16664"/>
    <cellStyle name="Тысячи [а] 2 7 2 3" xfId="16665"/>
    <cellStyle name="Тысячи [а] 2 7 2 4" xfId="16666"/>
    <cellStyle name="Тысячи [а] 2 7 3" xfId="16667"/>
    <cellStyle name="Тысячи [а] 2 7 3 2" xfId="16668"/>
    <cellStyle name="Тысячи [а] 2 7 3 3" xfId="16669"/>
    <cellStyle name="Тысячи [а] 2 7 3 4" xfId="16670"/>
    <cellStyle name="Тысячи [а] 2 7 3 5" xfId="16671"/>
    <cellStyle name="Тысячи [а] 2 7 4" xfId="16672"/>
    <cellStyle name="Тысячи [а] 2 8" xfId="16673"/>
    <cellStyle name="Тысячи [а] 2 8 2" xfId="16674"/>
    <cellStyle name="Тысячи [а] 2 8 3" xfId="16675"/>
    <cellStyle name="Тысячи [а] 2 8 4" xfId="16676"/>
    <cellStyle name="Тысячи [а] 2 8 5" xfId="16677"/>
    <cellStyle name="Тысячи [а] 2 9" xfId="16678"/>
    <cellStyle name="Тысячи [а] 3" xfId="16679"/>
    <cellStyle name="Тысячи [а] 3 2" xfId="16680"/>
    <cellStyle name="Тысячи [а] 3 2 2" xfId="16681"/>
    <cellStyle name="Тысячи [а] 3 2 2 2" xfId="16682"/>
    <cellStyle name="Тысячи [а] 3 2 2 3" xfId="16683"/>
    <cellStyle name="Тысячи [а] 3 2 2 4" xfId="16684"/>
    <cellStyle name="Тысячи [а] 3 2 2 5" xfId="16685"/>
    <cellStyle name="Тысячи [а] 3 2 3" xfId="16686"/>
    <cellStyle name="Тысячи [а] 3 2 4" xfId="16687"/>
    <cellStyle name="Тысячи [а] 3 3" xfId="16688"/>
    <cellStyle name="Тысячи [а] 3 3 2" xfId="16689"/>
    <cellStyle name="Тысячи [а] 3 3 3" xfId="16690"/>
    <cellStyle name="Тысячи [а] 3 3 4" xfId="16691"/>
    <cellStyle name="Тысячи [а] 3 3 5" xfId="16692"/>
    <cellStyle name="Тысячи [а] 3 4" xfId="16693"/>
    <cellStyle name="Тысячи [а] 4" xfId="16694"/>
    <cellStyle name="Тысячи [а] 4 2" xfId="16695"/>
    <cellStyle name="Тысячи [а] 4 2 2" xfId="16696"/>
    <cellStyle name="Тысячи [а] 4 2 2 2" xfId="16697"/>
    <cellStyle name="Тысячи [а] 4 2 2 3" xfId="16698"/>
    <cellStyle name="Тысячи [а] 4 2 2 4" xfId="16699"/>
    <cellStyle name="Тысячи [а] 4 2 2 5" xfId="16700"/>
    <cellStyle name="Тысячи [а] 4 2 3" xfId="16701"/>
    <cellStyle name="Тысячи [а] 4 2 4" xfId="16702"/>
    <cellStyle name="Тысячи [а] 4 3" xfId="16703"/>
    <cellStyle name="Тысячи [а] 4 3 2" xfId="16704"/>
    <cellStyle name="Тысячи [а] 4 3 3" xfId="16705"/>
    <cellStyle name="Тысячи [а] 4 3 4" xfId="16706"/>
    <cellStyle name="Тысячи [а] 4 3 5" xfId="16707"/>
    <cellStyle name="Тысячи [а] 4 4" xfId="16708"/>
    <cellStyle name="Тысячи [а] 5" xfId="16709"/>
    <cellStyle name="Тысячи [а] 5 2" xfId="16710"/>
    <cellStyle name="Тысячи [а] 5 2 2" xfId="16711"/>
    <cellStyle name="Тысячи [а] 5 2 2 2" xfId="16712"/>
    <cellStyle name="Тысячи [а] 5 2 2 3" xfId="16713"/>
    <cellStyle name="Тысячи [а] 5 2 2 4" xfId="16714"/>
    <cellStyle name="Тысячи [а] 5 2 2 5" xfId="16715"/>
    <cellStyle name="Тысячи [а] 5 2 3" xfId="16716"/>
    <cellStyle name="Тысячи [а] 5 2 4" xfId="16717"/>
    <cellStyle name="Тысячи [а] 5 3" xfId="16718"/>
    <cellStyle name="Тысячи [а] 5 3 2" xfId="16719"/>
    <cellStyle name="Тысячи [а] 5 3 3" xfId="16720"/>
    <cellStyle name="Тысячи [а] 5 3 4" xfId="16721"/>
    <cellStyle name="Тысячи [а] 5 3 5" xfId="16722"/>
    <cellStyle name="Тысячи [а] 5 4" xfId="16723"/>
    <cellStyle name="Тысячи [а] 6" xfId="16724"/>
    <cellStyle name="Тысячи [а] 6 2" xfId="16725"/>
    <cellStyle name="Тысячи [а] 6 2 2" xfId="16726"/>
    <cellStyle name="Тысячи [а] 6 2 2 2" xfId="16727"/>
    <cellStyle name="Тысячи [а] 6 2 2 3" xfId="16728"/>
    <cellStyle name="Тысячи [а] 6 2 2 4" xfId="16729"/>
    <cellStyle name="Тысячи [а] 6 2 2 5" xfId="16730"/>
    <cellStyle name="Тысячи [а] 6 2 3" xfId="16731"/>
    <cellStyle name="Тысячи [а] 6 2 4" xfId="16732"/>
    <cellStyle name="Тысячи [а] 6 3" xfId="16733"/>
    <cellStyle name="Тысячи [а] 6 3 2" xfId="16734"/>
    <cellStyle name="Тысячи [а] 6 3 3" xfId="16735"/>
    <cellStyle name="Тысячи [а] 6 3 4" xfId="16736"/>
    <cellStyle name="Тысячи [а] 6 3 5" xfId="16737"/>
    <cellStyle name="Тысячи [а] 6 4" xfId="16738"/>
    <cellStyle name="Тысячи [а] 7" xfId="16739"/>
    <cellStyle name="Тысячи [а] 7 2" xfId="16740"/>
    <cellStyle name="Тысячи [а] 7 2 2" xfId="16741"/>
    <cellStyle name="Тысячи [а] 7 2 2 2" xfId="16742"/>
    <cellStyle name="Тысячи [а] 7 2 2 3" xfId="16743"/>
    <cellStyle name="Тысячи [а] 7 2 2 4" xfId="16744"/>
    <cellStyle name="Тысячи [а] 7 2 2 5" xfId="16745"/>
    <cellStyle name="Тысячи [а] 7 2 3" xfId="16746"/>
    <cellStyle name="Тысячи [а] 7 2 4" xfId="16747"/>
    <cellStyle name="Тысячи [а] 7 3" xfId="16748"/>
    <cellStyle name="Тысячи [а] 7 3 2" xfId="16749"/>
    <cellStyle name="Тысячи [а] 7 3 3" xfId="16750"/>
    <cellStyle name="Тысячи [а] 7 3 4" xfId="16751"/>
    <cellStyle name="Тысячи [а] 7 3 5" xfId="16752"/>
    <cellStyle name="Тысячи [а] 7 4" xfId="16753"/>
    <cellStyle name="Тысячи [а] 8" xfId="16754"/>
    <cellStyle name="Тысячи [а] 8 2" xfId="16755"/>
    <cellStyle name="Тысячи [а] 8 2 2" xfId="16756"/>
    <cellStyle name="Тысячи [а] 8 2 2 2" xfId="16757"/>
    <cellStyle name="Тысячи [а] 8 2 2 3" xfId="16758"/>
    <cellStyle name="Тысячи [а] 8 2 2 4" xfId="16759"/>
    <cellStyle name="Тысячи [а] 8 2 2 5" xfId="16760"/>
    <cellStyle name="Тысячи [а] 8 2 3" xfId="16761"/>
    <cellStyle name="Тысячи [а] 8 2 4" xfId="16762"/>
    <cellStyle name="Тысячи [а] 8 3" xfId="16763"/>
    <cellStyle name="Тысячи [а] 8 3 2" xfId="16764"/>
    <cellStyle name="Тысячи [а] 8 3 3" xfId="16765"/>
    <cellStyle name="Тысячи [а] 8 3 4" xfId="16766"/>
    <cellStyle name="Тысячи [а] 8 3 5" xfId="16767"/>
    <cellStyle name="Тысячи [а] 8 4" xfId="16768"/>
    <cellStyle name="Тысячи [а] 9" xfId="16769"/>
    <cellStyle name="Тысячи [а] 9 2" xfId="16770"/>
    <cellStyle name="Тысячи [а] 9 3" xfId="16771"/>
    <cellStyle name="Тысячи [а] 9 4" xfId="16772"/>
    <cellStyle name="Тысячи [а] 9 5" xfId="16773"/>
    <cellStyle name="Тысячи_27.02 скоррект. " xfId="16774"/>
    <cellStyle name="Финансовый [0] 2" xfId="16775"/>
    <cellStyle name="Финансовый [0] 2 2" xfId="16776"/>
    <cellStyle name="Финансовый [0] 2 2 2" xfId="16777"/>
    <cellStyle name="Финансовый [0] 2 2 2 2" xfId="16778"/>
    <cellStyle name="Финансовый [0] 2 2 3" xfId="19563"/>
    <cellStyle name="Финансовый [0] 2 3" xfId="16779"/>
    <cellStyle name="Финансовый [0] 2 3 2" xfId="16780"/>
    <cellStyle name="Финансовый [0] 2 3 3" xfId="16781"/>
    <cellStyle name="Финансовый [0] 2 4" xfId="16782"/>
    <cellStyle name="Финансовый [0] 2 5" xfId="16783"/>
    <cellStyle name="Финансовый [0] 2_Кальк 9104 (26_10_09)" xfId="16784"/>
    <cellStyle name="Финансовый [0] 3" xfId="16785"/>
    <cellStyle name="Финансовый [0] 3 2" xfId="16786"/>
    <cellStyle name="Финансовый [0] 3 2 2" xfId="16787"/>
    <cellStyle name="Финансовый [0] 3 2 2 2" xfId="16788"/>
    <cellStyle name="Финансовый [0] 3 2 2 2 2" xfId="16789"/>
    <cellStyle name="Финансовый [0] 3 2 2 3" xfId="16790"/>
    <cellStyle name="Финансовый [0] 3 3" xfId="16791"/>
    <cellStyle name="Финансовый [0] 4" xfId="16792"/>
    <cellStyle name="Финансовый [0] 4 2" xfId="16793"/>
    <cellStyle name="Финансовый [0] 4 3" xfId="16794"/>
    <cellStyle name="Финансовый [0] 5" xfId="16795"/>
    <cellStyle name="Финансовый [0] 6" xfId="16796"/>
    <cellStyle name="Финансовый 10" xfId="16797"/>
    <cellStyle name="Финансовый 10 10" xfId="16798"/>
    <cellStyle name="Финансовый 10 10 2" xfId="16799"/>
    <cellStyle name="Финансовый 10 10 3" xfId="16800"/>
    <cellStyle name="Финансовый 10 11" xfId="16801"/>
    <cellStyle name="Финансовый 10 12" xfId="16802"/>
    <cellStyle name="Финансовый 10 13" xfId="16803"/>
    <cellStyle name="Финансовый 10 2" xfId="16804"/>
    <cellStyle name="Финансовый 10 2 2" xfId="16805"/>
    <cellStyle name="Финансовый 10 2 2 2" xfId="16806"/>
    <cellStyle name="Финансовый 10 2 2 2 2" xfId="16807"/>
    <cellStyle name="Финансовый 10 2 2 2 3" xfId="16808"/>
    <cellStyle name="Финансовый 10 2 2 3" xfId="16809"/>
    <cellStyle name="Финансовый 10 2 2 4" xfId="16810"/>
    <cellStyle name="Финансовый 10 2 2 5" xfId="16811"/>
    <cellStyle name="Финансовый 10 2 3" xfId="16812"/>
    <cellStyle name="Финансовый 10 2 3 2" xfId="16813"/>
    <cellStyle name="Финансовый 10 2 3 3" xfId="16814"/>
    <cellStyle name="Финансовый 10 2 4" xfId="16815"/>
    <cellStyle name="Финансовый 10 2 5" xfId="16816"/>
    <cellStyle name="Финансовый 10 3" xfId="16817"/>
    <cellStyle name="Финансовый 10 3 2" xfId="16818"/>
    <cellStyle name="Финансовый 10 3 3" xfId="16819"/>
    <cellStyle name="Финансовый 10 4" xfId="16820"/>
    <cellStyle name="Финансовый 10 4 2" xfId="16821"/>
    <cellStyle name="Финансовый 10 4 2 2" xfId="16822"/>
    <cellStyle name="Финансовый 10 4 2 2 2" xfId="16823"/>
    <cellStyle name="Финансовый 10 4 2 2 3" xfId="16824"/>
    <cellStyle name="Финансовый 10 4 2 3" xfId="16825"/>
    <cellStyle name="Финансовый 10 4 2 4" xfId="16826"/>
    <cellStyle name="Финансовый 10 4 2 5" xfId="16827"/>
    <cellStyle name="Финансовый 10 4 3" xfId="16828"/>
    <cellStyle name="Финансовый 10 4 3 2" xfId="16829"/>
    <cellStyle name="Финансовый 10 4 3 3" xfId="16830"/>
    <cellStyle name="Финансовый 10 4 4" xfId="16831"/>
    <cellStyle name="Финансовый 10 4 5" xfId="16832"/>
    <cellStyle name="Финансовый 10 4 6" xfId="16833"/>
    <cellStyle name="Финансовый 10 5" xfId="16834"/>
    <cellStyle name="Финансовый 10 5 2" xfId="16835"/>
    <cellStyle name="Финансовый 10 5 2 2" xfId="16836"/>
    <cellStyle name="Финансовый 10 5 2 2 2" xfId="16837"/>
    <cellStyle name="Финансовый 10 5 2 2 3" xfId="16838"/>
    <cellStyle name="Финансовый 10 5 2 3" xfId="16839"/>
    <cellStyle name="Финансовый 10 5 2 4" xfId="16840"/>
    <cellStyle name="Финансовый 10 5 2 5" xfId="16841"/>
    <cellStyle name="Финансовый 10 5 3" xfId="16842"/>
    <cellStyle name="Финансовый 10 5 3 2" xfId="16843"/>
    <cellStyle name="Финансовый 10 5 3 3" xfId="16844"/>
    <cellStyle name="Финансовый 10 5 4" xfId="16845"/>
    <cellStyle name="Финансовый 10 5 5" xfId="16846"/>
    <cellStyle name="Финансовый 10 5 6" xfId="16847"/>
    <cellStyle name="Финансовый 10 6" xfId="16848"/>
    <cellStyle name="Финансовый 10 6 2" xfId="16849"/>
    <cellStyle name="Финансовый 10 6 2 2" xfId="16850"/>
    <cellStyle name="Финансовый 10 6 2 2 2" xfId="16851"/>
    <cellStyle name="Финансовый 10 6 2 2 3" xfId="16852"/>
    <cellStyle name="Финансовый 10 6 2 3" xfId="16853"/>
    <cellStyle name="Финансовый 10 6 2 4" xfId="16854"/>
    <cellStyle name="Финансовый 10 6 2 5" xfId="16855"/>
    <cellStyle name="Финансовый 10 6 3" xfId="16856"/>
    <cellStyle name="Финансовый 10 6 3 2" xfId="16857"/>
    <cellStyle name="Финансовый 10 6 3 3" xfId="16858"/>
    <cellStyle name="Финансовый 10 6 4" xfId="16859"/>
    <cellStyle name="Финансовый 10 6 5" xfId="16860"/>
    <cellStyle name="Финансовый 10 6 6" xfId="16861"/>
    <cellStyle name="Финансовый 10 7" xfId="16862"/>
    <cellStyle name="Финансовый 10 7 2" xfId="16863"/>
    <cellStyle name="Финансовый 10 7 2 2" xfId="16864"/>
    <cellStyle name="Финансовый 10 7 2 2 2" xfId="16865"/>
    <cellStyle name="Финансовый 10 7 2 2 3" xfId="16866"/>
    <cellStyle name="Финансовый 10 7 2 3" xfId="16867"/>
    <cellStyle name="Финансовый 10 7 2 4" xfId="16868"/>
    <cellStyle name="Финансовый 10 7 2 5" xfId="16869"/>
    <cellStyle name="Финансовый 10 7 3" xfId="16870"/>
    <cellStyle name="Финансовый 10 7 3 2" xfId="16871"/>
    <cellStyle name="Финансовый 10 7 3 3" xfId="16872"/>
    <cellStyle name="Финансовый 10 7 4" xfId="16873"/>
    <cellStyle name="Финансовый 10 7 5" xfId="16874"/>
    <cellStyle name="Финансовый 10 7 6" xfId="16875"/>
    <cellStyle name="Финансовый 10 8" xfId="16876"/>
    <cellStyle name="Финансовый 10 8 2" xfId="16877"/>
    <cellStyle name="Финансовый 10 8 2 2" xfId="16878"/>
    <cellStyle name="Финансовый 10 8 2 3" xfId="16879"/>
    <cellStyle name="Финансовый 10 8 3" xfId="16880"/>
    <cellStyle name="Финансовый 10 8 4" xfId="16881"/>
    <cellStyle name="Финансовый 10 8 5" xfId="16882"/>
    <cellStyle name="Финансовый 10 9" xfId="16883"/>
    <cellStyle name="Финансовый 10 9 2" xfId="16884"/>
    <cellStyle name="Финансовый 10 9 2 2" xfId="16885"/>
    <cellStyle name="Финансовый 10 9 2 3" xfId="16886"/>
    <cellStyle name="Финансовый 10 9 3" xfId="16887"/>
    <cellStyle name="Финансовый 10 9 4" xfId="16888"/>
    <cellStyle name="Финансовый 11" xfId="16889"/>
    <cellStyle name="Финансовый 11 2" xfId="16890"/>
    <cellStyle name="Финансовый 12" xfId="16891"/>
    <cellStyle name="Финансовый 12 10" xfId="16892"/>
    <cellStyle name="Финансовый 12 2" xfId="16893"/>
    <cellStyle name="Финансовый 12 2 2" xfId="16894"/>
    <cellStyle name="Финансовый 12 3" xfId="16895"/>
    <cellStyle name="Финансовый 12 3 2" xfId="16896"/>
    <cellStyle name="Финансовый 12 3 2 2" xfId="16897"/>
    <cellStyle name="Финансовый 12 3 2 2 2" xfId="16898"/>
    <cellStyle name="Финансовый 12 3 2 2 3" xfId="16899"/>
    <cellStyle name="Финансовый 12 3 2 3" xfId="16900"/>
    <cellStyle name="Финансовый 12 3 2 4" xfId="16901"/>
    <cellStyle name="Финансовый 12 3 2 5" xfId="16902"/>
    <cellStyle name="Финансовый 12 3 3" xfId="16903"/>
    <cellStyle name="Финансовый 12 3 3 2" xfId="16904"/>
    <cellStyle name="Финансовый 12 3 3 3" xfId="16905"/>
    <cellStyle name="Финансовый 12 3 4" xfId="16906"/>
    <cellStyle name="Финансовый 12 3 5" xfId="16907"/>
    <cellStyle name="Финансовый 12 3 6" xfId="16908"/>
    <cellStyle name="Финансовый 12 4" xfId="16909"/>
    <cellStyle name="Финансовый 12 4 2" xfId="16910"/>
    <cellStyle name="Финансовый 12 4 2 2" xfId="16911"/>
    <cellStyle name="Финансовый 12 4 2 2 2" xfId="16912"/>
    <cellStyle name="Финансовый 12 4 2 2 3" xfId="16913"/>
    <cellStyle name="Финансовый 12 4 2 3" xfId="16914"/>
    <cellStyle name="Финансовый 12 4 2 4" xfId="16915"/>
    <cellStyle name="Финансовый 12 4 2 5" xfId="16916"/>
    <cellStyle name="Финансовый 12 4 3" xfId="16917"/>
    <cellStyle name="Финансовый 12 4 3 2" xfId="16918"/>
    <cellStyle name="Финансовый 12 4 3 3" xfId="16919"/>
    <cellStyle name="Финансовый 12 4 4" xfId="16920"/>
    <cellStyle name="Финансовый 12 4 5" xfId="16921"/>
    <cellStyle name="Финансовый 12 4 6" xfId="16922"/>
    <cellStyle name="Финансовый 12 5" xfId="16923"/>
    <cellStyle name="Финансовый 12 5 2" xfId="16924"/>
    <cellStyle name="Финансовый 12 5 2 2" xfId="16925"/>
    <cellStyle name="Финансовый 12 5 2 2 2" xfId="16926"/>
    <cellStyle name="Финансовый 12 5 2 2 3" xfId="16927"/>
    <cellStyle name="Финансовый 12 5 2 3" xfId="16928"/>
    <cellStyle name="Финансовый 12 5 2 4" xfId="16929"/>
    <cellStyle name="Финансовый 12 5 2 5" xfId="16930"/>
    <cellStyle name="Финансовый 12 5 3" xfId="16931"/>
    <cellStyle name="Финансовый 12 5 3 2" xfId="16932"/>
    <cellStyle name="Финансовый 12 5 3 3" xfId="16933"/>
    <cellStyle name="Финансовый 12 5 4" xfId="16934"/>
    <cellStyle name="Финансовый 12 5 5" xfId="16935"/>
    <cellStyle name="Финансовый 12 5 6" xfId="16936"/>
    <cellStyle name="Финансовый 12 6" xfId="16937"/>
    <cellStyle name="Финансовый 12 6 2" xfId="16938"/>
    <cellStyle name="Финансовый 12 6 2 2" xfId="16939"/>
    <cellStyle name="Финансовый 12 6 2 2 2" xfId="16940"/>
    <cellStyle name="Финансовый 12 6 2 2 3" xfId="16941"/>
    <cellStyle name="Финансовый 12 6 2 3" xfId="16942"/>
    <cellStyle name="Финансовый 12 6 2 4" xfId="16943"/>
    <cellStyle name="Финансовый 12 6 2 5" xfId="16944"/>
    <cellStyle name="Финансовый 12 6 3" xfId="16945"/>
    <cellStyle name="Финансовый 12 6 3 2" xfId="16946"/>
    <cellStyle name="Финансовый 12 6 3 3" xfId="16947"/>
    <cellStyle name="Финансовый 12 6 4" xfId="16948"/>
    <cellStyle name="Финансовый 12 6 5" xfId="16949"/>
    <cellStyle name="Финансовый 12 6 6" xfId="16950"/>
    <cellStyle name="Финансовый 12 7" xfId="16951"/>
    <cellStyle name="Финансовый 12 7 2" xfId="16952"/>
    <cellStyle name="Финансовый 12 7 2 2" xfId="16953"/>
    <cellStyle name="Финансовый 12 7 2 3" xfId="16954"/>
    <cellStyle name="Финансовый 12 7 3" xfId="16955"/>
    <cellStyle name="Финансовый 12 7 4" xfId="16956"/>
    <cellStyle name="Финансовый 12 7 5" xfId="16957"/>
    <cellStyle name="Финансовый 12 8" xfId="16958"/>
    <cellStyle name="Финансовый 12 8 2" xfId="16959"/>
    <cellStyle name="Финансовый 12 8 3" xfId="16960"/>
    <cellStyle name="Финансовый 12 9" xfId="16961"/>
    <cellStyle name="Финансовый 13" xfId="16962"/>
    <cellStyle name="Финансовый 13 10" xfId="16963"/>
    <cellStyle name="Финансовый 13 10 2" xfId="16964"/>
    <cellStyle name="Финансовый 13 10 2 2" xfId="16965"/>
    <cellStyle name="Финансовый 13 10 2 3" xfId="16966"/>
    <cellStyle name="Финансовый 13 10 3" xfId="16967"/>
    <cellStyle name="Финансовый 13 10 4" xfId="16968"/>
    <cellStyle name="Финансовый 13 10 5" xfId="16969"/>
    <cellStyle name="Финансовый 13 11" xfId="16970"/>
    <cellStyle name="Финансовый 13 11 2" xfId="16971"/>
    <cellStyle name="Финансовый 13 11 3" xfId="16972"/>
    <cellStyle name="Финансовый 13 12" xfId="16973"/>
    <cellStyle name="Финансовый 13 13" xfId="16974"/>
    <cellStyle name="Финансовый 13 2" xfId="16975"/>
    <cellStyle name="Финансовый 13 2 2" xfId="16976"/>
    <cellStyle name="Финансовый 13 2 2 2" xfId="16977"/>
    <cellStyle name="Финансовый 13 2 2 2 2" xfId="16978"/>
    <cellStyle name="Финансовый 13 2 2 2 3" xfId="16979"/>
    <cellStyle name="Финансовый 13 2 2 3" xfId="16980"/>
    <cellStyle name="Финансовый 13 2 2 4" xfId="16981"/>
    <cellStyle name="Финансовый 13 2 2 5" xfId="16982"/>
    <cellStyle name="Финансовый 13 2 3" xfId="16983"/>
    <cellStyle name="Финансовый 13 2 3 2" xfId="16984"/>
    <cellStyle name="Финансовый 13 2 3 3" xfId="16985"/>
    <cellStyle name="Финансовый 13 2 4" xfId="16986"/>
    <cellStyle name="Финансовый 13 2 5" xfId="16987"/>
    <cellStyle name="Финансовый 13 3" xfId="16988"/>
    <cellStyle name="Финансовый 13 3 2" xfId="16989"/>
    <cellStyle name="Финансовый 13 3 3" xfId="16990"/>
    <cellStyle name="Финансовый 13 4" xfId="16991"/>
    <cellStyle name="Финансовый 13 4 2" xfId="16992"/>
    <cellStyle name="Финансовый 13 4 2 2" xfId="16993"/>
    <cellStyle name="Финансовый 13 4 2 2 2" xfId="16994"/>
    <cellStyle name="Финансовый 13 4 2 2 3" xfId="16995"/>
    <cellStyle name="Финансовый 13 4 2 3" xfId="16996"/>
    <cellStyle name="Финансовый 13 4 2 4" xfId="16997"/>
    <cellStyle name="Финансовый 13 4 2 5" xfId="16998"/>
    <cellStyle name="Финансовый 13 4 3" xfId="16999"/>
    <cellStyle name="Финансовый 13 4 3 2" xfId="17000"/>
    <cellStyle name="Финансовый 13 4 3 3" xfId="17001"/>
    <cellStyle name="Финансовый 13 4 4" xfId="17002"/>
    <cellStyle name="Финансовый 13 4 5" xfId="17003"/>
    <cellStyle name="Финансовый 13 4 6" xfId="17004"/>
    <cellStyle name="Финансовый 13 5" xfId="17005"/>
    <cellStyle name="Финансовый 13 5 2" xfId="17006"/>
    <cellStyle name="Финансовый 13 5 2 2" xfId="17007"/>
    <cellStyle name="Финансовый 13 5 2 2 2" xfId="17008"/>
    <cellStyle name="Финансовый 13 5 2 2 3" xfId="17009"/>
    <cellStyle name="Финансовый 13 5 2 3" xfId="17010"/>
    <cellStyle name="Финансовый 13 5 2 4" xfId="17011"/>
    <cellStyle name="Финансовый 13 5 2 5" xfId="17012"/>
    <cellStyle name="Финансовый 13 5 3" xfId="17013"/>
    <cellStyle name="Финансовый 13 5 3 2" xfId="17014"/>
    <cellStyle name="Финансовый 13 5 3 3" xfId="17015"/>
    <cellStyle name="Финансовый 13 5 4" xfId="17016"/>
    <cellStyle name="Финансовый 13 5 5" xfId="17017"/>
    <cellStyle name="Финансовый 13 5 6" xfId="17018"/>
    <cellStyle name="Финансовый 13 6" xfId="17019"/>
    <cellStyle name="Финансовый 13 6 2" xfId="17020"/>
    <cellStyle name="Финансовый 13 6 2 2" xfId="17021"/>
    <cellStyle name="Финансовый 13 6 2 2 2" xfId="17022"/>
    <cellStyle name="Финансовый 13 6 2 2 3" xfId="17023"/>
    <cellStyle name="Финансовый 13 6 2 3" xfId="17024"/>
    <cellStyle name="Финансовый 13 6 2 4" xfId="17025"/>
    <cellStyle name="Финансовый 13 6 2 5" xfId="17026"/>
    <cellStyle name="Финансовый 13 6 3" xfId="17027"/>
    <cellStyle name="Финансовый 13 6 3 2" xfId="17028"/>
    <cellStyle name="Финансовый 13 6 3 3" xfId="17029"/>
    <cellStyle name="Финансовый 13 6 4" xfId="17030"/>
    <cellStyle name="Финансовый 13 6 5" xfId="17031"/>
    <cellStyle name="Финансовый 13 6 6" xfId="17032"/>
    <cellStyle name="Финансовый 13 7" xfId="17033"/>
    <cellStyle name="Финансовый 13 7 2" xfId="17034"/>
    <cellStyle name="Финансовый 13 7 2 2" xfId="17035"/>
    <cellStyle name="Финансовый 13 7 2 2 2" xfId="17036"/>
    <cellStyle name="Финансовый 13 7 2 2 3" xfId="17037"/>
    <cellStyle name="Финансовый 13 7 2 3" xfId="17038"/>
    <cellStyle name="Финансовый 13 7 2 4" xfId="17039"/>
    <cellStyle name="Финансовый 13 7 2 5" xfId="17040"/>
    <cellStyle name="Финансовый 13 7 3" xfId="17041"/>
    <cellStyle name="Финансовый 13 7 3 2" xfId="17042"/>
    <cellStyle name="Финансовый 13 7 3 3" xfId="17043"/>
    <cellStyle name="Финансовый 13 7 4" xfId="17044"/>
    <cellStyle name="Финансовый 13 7 5" xfId="17045"/>
    <cellStyle name="Финансовый 13 7 6" xfId="17046"/>
    <cellStyle name="Финансовый 13 8" xfId="17047"/>
    <cellStyle name="Финансовый 13 8 2" xfId="17048"/>
    <cellStyle name="Финансовый 13 8 2 2" xfId="17049"/>
    <cellStyle name="Финансовый 13 8 2 3" xfId="17050"/>
    <cellStyle name="Финансовый 13 8 3" xfId="17051"/>
    <cellStyle name="Финансовый 13 8 4" xfId="17052"/>
    <cellStyle name="Финансовый 13 8 5" xfId="17053"/>
    <cellStyle name="Финансовый 13 9" xfId="17054"/>
    <cellStyle name="Финансовый 13 9 2" xfId="17055"/>
    <cellStyle name="Финансовый 13 9 2 2" xfId="17056"/>
    <cellStyle name="Финансовый 13 9 2 3" xfId="17057"/>
    <cellStyle name="Финансовый 13 9 3" xfId="17058"/>
    <cellStyle name="Финансовый 13 9 4" xfId="17059"/>
    <cellStyle name="Финансовый 13 9 5" xfId="17060"/>
    <cellStyle name="Финансовый 14" xfId="17061"/>
    <cellStyle name="Финансовый 15" xfId="17062"/>
    <cellStyle name="Финансовый 15 2" xfId="17063"/>
    <cellStyle name="Финансовый 15 2 2" xfId="17064"/>
    <cellStyle name="Финансовый 15 2 3" xfId="17065"/>
    <cellStyle name="Финансовый 16" xfId="17066"/>
    <cellStyle name="Финансовый 16 2" xfId="17067"/>
    <cellStyle name="Финансовый 17" xfId="17068"/>
    <cellStyle name="Финансовый 17 2" xfId="17069"/>
    <cellStyle name="Финансовый 17 2 2" xfId="17070"/>
    <cellStyle name="Финансовый 17 2 3" xfId="17071"/>
    <cellStyle name="Финансовый 17 3" xfId="17072"/>
    <cellStyle name="Финансовый 18" xfId="17073"/>
    <cellStyle name="Финансовый 18 10" xfId="17074"/>
    <cellStyle name="Финансовый 18 11" xfId="17075"/>
    <cellStyle name="Финансовый 18 2" xfId="17076"/>
    <cellStyle name="Финансовый 18 2 2" xfId="17077"/>
    <cellStyle name="Финансовый 18 2 2 2" xfId="17078"/>
    <cellStyle name="Финансовый 18 2 2 2 2" xfId="17079"/>
    <cellStyle name="Финансовый 18 2 2 2 3" xfId="17080"/>
    <cellStyle name="Финансовый 18 2 2 3" xfId="17081"/>
    <cellStyle name="Финансовый 18 2 2 4" xfId="17082"/>
    <cellStyle name="Финансовый 18 2 2 5" xfId="17083"/>
    <cellStyle name="Финансовый 18 2 3" xfId="17084"/>
    <cellStyle name="Финансовый 18 2 3 2" xfId="17085"/>
    <cellStyle name="Финансовый 18 2 3 3" xfId="17086"/>
    <cellStyle name="Финансовый 18 2 4" xfId="17087"/>
    <cellStyle name="Финансовый 18 2 5" xfId="17088"/>
    <cellStyle name="Финансовый 18 2 6" xfId="17089"/>
    <cellStyle name="Финансовый 18 3" xfId="17090"/>
    <cellStyle name="Финансовый 18 3 2" xfId="17091"/>
    <cellStyle name="Финансовый 18 3 2 2" xfId="17092"/>
    <cellStyle name="Финансовый 18 3 2 2 2" xfId="17093"/>
    <cellStyle name="Финансовый 18 3 2 2 3" xfId="17094"/>
    <cellStyle name="Финансовый 18 3 2 3" xfId="17095"/>
    <cellStyle name="Финансовый 18 3 2 4" xfId="17096"/>
    <cellStyle name="Финансовый 18 3 2 5" xfId="17097"/>
    <cellStyle name="Финансовый 18 3 3" xfId="17098"/>
    <cellStyle name="Финансовый 18 3 3 2" xfId="17099"/>
    <cellStyle name="Финансовый 18 3 3 3" xfId="17100"/>
    <cellStyle name="Финансовый 18 3 4" xfId="17101"/>
    <cellStyle name="Финансовый 18 3 5" xfId="17102"/>
    <cellStyle name="Финансовый 18 3 6" xfId="17103"/>
    <cellStyle name="Финансовый 18 4" xfId="17104"/>
    <cellStyle name="Финансовый 18 4 2" xfId="17105"/>
    <cellStyle name="Финансовый 18 4 2 2" xfId="17106"/>
    <cellStyle name="Финансовый 18 4 2 2 2" xfId="17107"/>
    <cellStyle name="Финансовый 18 4 2 2 3" xfId="17108"/>
    <cellStyle name="Финансовый 18 4 2 3" xfId="17109"/>
    <cellStyle name="Финансовый 18 4 2 4" xfId="17110"/>
    <cellStyle name="Финансовый 18 4 2 5" xfId="17111"/>
    <cellStyle name="Финансовый 18 4 3" xfId="17112"/>
    <cellStyle name="Финансовый 18 4 3 2" xfId="17113"/>
    <cellStyle name="Финансовый 18 4 3 3" xfId="17114"/>
    <cellStyle name="Финансовый 18 4 4" xfId="17115"/>
    <cellStyle name="Финансовый 18 4 5" xfId="17116"/>
    <cellStyle name="Финансовый 18 4 6" xfId="17117"/>
    <cellStyle name="Финансовый 18 5" xfId="17118"/>
    <cellStyle name="Финансовый 18 5 2" xfId="17119"/>
    <cellStyle name="Финансовый 18 5 2 2" xfId="17120"/>
    <cellStyle name="Финансовый 18 5 2 2 2" xfId="17121"/>
    <cellStyle name="Финансовый 18 5 2 2 3" xfId="17122"/>
    <cellStyle name="Финансовый 18 5 2 3" xfId="17123"/>
    <cellStyle name="Финансовый 18 5 2 4" xfId="17124"/>
    <cellStyle name="Финансовый 18 5 2 5" xfId="17125"/>
    <cellStyle name="Финансовый 18 5 3" xfId="17126"/>
    <cellStyle name="Финансовый 18 5 3 2" xfId="17127"/>
    <cellStyle name="Финансовый 18 5 3 3" xfId="17128"/>
    <cellStyle name="Финансовый 18 5 4" xfId="17129"/>
    <cellStyle name="Финансовый 18 5 5" xfId="17130"/>
    <cellStyle name="Финансовый 18 5 6" xfId="17131"/>
    <cellStyle name="Финансовый 18 6" xfId="17132"/>
    <cellStyle name="Финансовый 18 6 2" xfId="17133"/>
    <cellStyle name="Финансовый 18 6 2 2" xfId="17134"/>
    <cellStyle name="Финансовый 18 6 2 2 2" xfId="17135"/>
    <cellStyle name="Финансовый 18 6 2 2 3" xfId="17136"/>
    <cellStyle name="Финансовый 18 6 2 3" xfId="17137"/>
    <cellStyle name="Финансовый 18 6 2 4" xfId="17138"/>
    <cellStyle name="Финансовый 18 6 2 5" xfId="17139"/>
    <cellStyle name="Финансовый 18 6 3" xfId="17140"/>
    <cellStyle name="Финансовый 18 6 3 2" xfId="17141"/>
    <cellStyle name="Финансовый 18 6 3 3" xfId="17142"/>
    <cellStyle name="Финансовый 18 6 4" xfId="17143"/>
    <cellStyle name="Финансовый 18 6 5" xfId="17144"/>
    <cellStyle name="Финансовый 18 6 6" xfId="17145"/>
    <cellStyle name="Финансовый 18 7" xfId="17146"/>
    <cellStyle name="Финансовый 18 7 2" xfId="17147"/>
    <cellStyle name="Финансовый 18 7 2 2" xfId="17148"/>
    <cellStyle name="Финансовый 18 7 2 3" xfId="17149"/>
    <cellStyle name="Финансовый 18 7 3" xfId="17150"/>
    <cellStyle name="Финансовый 18 7 4" xfId="17151"/>
    <cellStyle name="Финансовый 18 7 5" xfId="17152"/>
    <cellStyle name="Финансовый 18 8" xfId="17153"/>
    <cellStyle name="Финансовый 18 8 2" xfId="17154"/>
    <cellStyle name="Финансовый 18 8 3" xfId="17155"/>
    <cellStyle name="Финансовый 18 9" xfId="17156"/>
    <cellStyle name="Финансовый 19" xfId="17157"/>
    <cellStyle name="Финансовый 19 10" xfId="17158"/>
    <cellStyle name="Финансовый 19 10 2" xfId="17159"/>
    <cellStyle name="Финансовый 19 10 3" xfId="17160"/>
    <cellStyle name="Финансовый 19 11" xfId="17161"/>
    <cellStyle name="Финансовый 19 12" xfId="17162"/>
    <cellStyle name="Финансовый 19 13" xfId="17163"/>
    <cellStyle name="Финансовый 19 2" xfId="17164"/>
    <cellStyle name="Финансовый 19 2 2" xfId="17165"/>
    <cellStyle name="Финансовый 19 2 2 2" xfId="17166"/>
    <cellStyle name="Финансовый 19 2 2 2 2" xfId="17167"/>
    <cellStyle name="Финансовый 19 2 2 2 3" xfId="17168"/>
    <cellStyle name="Финансовый 19 2 2 3" xfId="17169"/>
    <cellStyle name="Финансовый 19 2 2 4" xfId="17170"/>
    <cellStyle name="Финансовый 19 2 2 5" xfId="17171"/>
    <cellStyle name="Финансовый 19 2 3" xfId="17172"/>
    <cellStyle name="Финансовый 19 2 3 2" xfId="17173"/>
    <cellStyle name="Финансовый 19 2 3 3" xfId="17174"/>
    <cellStyle name="Финансовый 19 2 4" xfId="17175"/>
    <cellStyle name="Финансовый 19 2 5" xfId="17176"/>
    <cellStyle name="Финансовый 19 2 6" xfId="17177"/>
    <cellStyle name="Финансовый 19 3" xfId="17178"/>
    <cellStyle name="Финансовый 19 3 2" xfId="17179"/>
    <cellStyle name="Финансовый 19 3 2 2" xfId="17180"/>
    <cellStyle name="Финансовый 19 3 2 2 2" xfId="17181"/>
    <cellStyle name="Финансовый 19 3 2 2 3" xfId="17182"/>
    <cellStyle name="Финансовый 19 3 2 3" xfId="17183"/>
    <cellStyle name="Финансовый 19 3 2 4" xfId="17184"/>
    <cellStyle name="Финансовый 19 3 2 5" xfId="17185"/>
    <cellStyle name="Финансовый 19 3 3" xfId="17186"/>
    <cellStyle name="Финансовый 19 3 3 2" xfId="17187"/>
    <cellStyle name="Финансовый 19 3 3 3" xfId="17188"/>
    <cellStyle name="Финансовый 19 3 4" xfId="17189"/>
    <cellStyle name="Финансовый 19 3 5" xfId="17190"/>
    <cellStyle name="Финансовый 19 3 6" xfId="17191"/>
    <cellStyle name="Финансовый 19 4" xfId="17192"/>
    <cellStyle name="Финансовый 19 4 2" xfId="17193"/>
    <cellStyle name="Финансовый 19 4 2 2" xfId="17194"/>
    <cellStyle name="Финансовый 19 4 2 2 2" xfId="17195"/>
    <cellStyle name="Финансовый 19 4 2 2 3" xfId="17196"/>
    <cellStyle name="Финансовый 19 4 2 3" xfId="17197"/>
    <cellStyle name="Финансовый 19 4 2 4" xfId="17198"/>
    <cellStyle name="Финансовый 19 4 2 5" xfId="17199"/>
    <cellStyle name="Финансовый 19 4 3" xfId="17200"/>
    <cellStyle name="Финансовый 19 4 3 2" xfId="17201"/>
    <cellStyle name="Финансовый 19 4 3 3" xfId="17202"/>
    <cellStyle name="Финансовый 19 4 4" xfId="17203"/>
    <cellStyle name="Финансовый 19 4 5" xfId="17204"/>
    <cellStyle name="Финансовый 19 4 6" xfId="17205"/>
    <cellStyle name="Финансовый 19 5" xfId="17206"/>
    <cellStyle name="Финансовый 19 5 2" xfId="17207"/>
    <cellStyle name="Финансовый 19 5 2 2" xfId="17208"/>
    <cellStyle name="Финансовый 19 5 2 2 2" xfId="17209"/>
    <cellStyle name="Финансовый 19 5 2 2 3" xfId="17210"/>
    <cellStyle name="Финансовый 19 5 2 3" xfId="17211"/>
    <cellStyle name="Финансовый 19 5 2 4" xfId="17212"/>
    <cellStyle name="Финансовый 19 5 2 5" xfId="17213"/>
    <cellStyle name="Финансовый 19 5 3" xfId="17214"/>
    <cellStyle name="Финансовый 19 5 3 2" xfId="17215"/>
    <cellStyle name="Финансовый 19 5 3 3" xfId="17216"/>
    <cellStyle name="Финансовый 19 5 4" xfId="17217"/>
    <cellStyle name="Финансовый 19 5 5" xfId="17218"/>
    <cellStyle name="Финансовый 19 5 6" xfId="17219"/>
    <cellStyle name="Финансовый 19 6" xfId="17220"/>
    <cellStyle name="Финансовый 19 6 2" xfId="17221"/>
    <cellStyle name="Финансовый 19 6 2 2" xfId="17222"/>
    <cellStyle name="Финансовый 19 6 2 2 2" xfId="17223"/>
    <cellStyle name="Финансовый 19 6 2 2 3" xfId="17224"/>
    <cellStyle name="Финансовый 19 6 2 3" xfId="17225"/>
    <cellStyle name="Финансовый 19 6 2 4" xfId="17226"/>
    <cellStyle name="Финансовый 19 6 2 5" xfId="17227"/>
    <cellStyle name="Финансовый 19 6 3" xfId="17228"/>
    <cellStyle name="Финансовый 19 6 3 2" xfId="17229"/>
    <cellStyle name="Финансовый 19 6 3 3" xfId="17230"/>
    <cellStyle name="Финансовый 19 6 4" xfId="17231"/>
    <cellStyle name="Финансовый 19 6 5" xfId="17232"/>
    <cellStyle name="Финансовый 19 6 6" xfId="17233"/>
    <cellStyle name="Финансовый 19 7" xfId="17234"/>
    <cellStyle name="Финансовый 19 7 2" xfId="17235"/>
    <cellStyle name="Финансовый 19 7 2 2" xfId="17236"/>
    <cellStyle name="Финансовый 19 7 2 2 2" xfId="17237"/>
    <cellStyle name="Финансовый 19 7 2 2 3" xfId="17238"/>
    <cellStyle name="Финансовый 19 7 2 3" xfId="17239"/>
    <cellStyle name="Финансовый 19 7 2 4" xfId="17240"/>
    <cellStyle name="Финансовый 19 7 2 5" xfId="17241"/>
    <cellStyle name="Финансовый 19 7 3" xfId="17242"/>
    <cellStyle name="Финансовый 19 7 3 2" xfId="17243"/>
    <cellStyle name="Финансовый 19 7 3 3" xfId="17244"/>
    <cellStyle name="Финансовый 19 7 4" xfId="17245"/>
    <cellStyle name="Финансовый 19 7 5" xfId="17246"/>
    <cellStyle name="Финансовый 19 7 6" xfId="17247"/>
    <cellStyle name="Финансовый 19 8" xfId="17248"/>
    <cellStyle name="Финансовый 19 8 2" xfId="17249"/>
    <cellStyle name="Финансовый 19 8 2 2" xfId="17250"/>
    <cellStyle name="Финансовый 19 8 2 3" xfId="17251"/>
    <cellStyle name="Финансовый 19 8 3" xfId="17252"/>
    <cellStyle name="Финансовый 19 8 4" xfId="17253"/>
    <cellStyle name="Финансовый 19 8 5" xfId="17254"/>
    <cellStyle name="Финансовый 19 9" xfId="17255"/>
    <cellStyle name="Финансовый 19 9 2" xfId="17256"/>
    <cellStyle name="Финансовый 19 9 2 2" xfId="17257"/>
    <cellStyle name="Финансовый 19 9 2 3" xfId="17258"/>
    <cellStyle name="Финансовый 19 9 3" xfId="17259"/>
    <cellStyle name="Финансовый 19 9 4" xfId="17260"/>
    <cellStyle name="Финансовый 19 9 5" xfId="17261"/>
    <cellStyle name="Финансовый 2" xfId="4"/>
    <cellStyle name="Финансовый 2 10" xfId="17262"/>
    <cellStyle name="Финансовый 2 11" xfId="17263"/>
    <cellStyle name="Финансовый 2 11 2" xfId="17264"/>
    <cellStyle name="Финансовый 2 11 2 2" xfId="17265"/>
    <cellStyle name="Финансовый 2 11 2 2 2" xfId="17266"/>
    <cellStyle name="Финансовый 2 11 2 2 3" xfId="17267"/>
    <cellStyle name="Финансовый 2 11 2 3" xfId="17268"/>
    <cellStyle name="Финансовый 2 11 2 4" xfId="17269"/>
    <cellStyle name="Финансовый 2 11 2 5" xfId="17270"/>
    <cellStyle name="Финансовый 2 11 3" xfId="17271"/>
    <cellStyle name="Финансовый 2 11 3 2" xfId="17272"/>
    <cellStyle name="Финансовый 2 11 3 3" xfId="17273"/>
    <cellStyle name="Финансовый 2 12" xfId="17274"/>
    <cellStyle name="Финансовый 2 12 2" xfId="17275"/>
    <cellStyle name="Финансовый 2 12 3" xfId="17276"/>
    <cellStyle name="Финансовый 2 13" xfId="17277"/>
    <cellStyle name="Финансовый 2 14" xfId="17278"/>
    <cellStyle name="Финансовый 2 2" xfId="7"/>
    <cellStyle name="Финансовый 2 2 10" xfId="17279"/>
    <cellStyle name="Финансовый 2 2 10 2" xfId="17280"/>
    <cellStyle name="Финансовый 2 2 11" xfId="17281"/>
    <cellStyle name="Финансовый 2 2 11 2" xfId="17282"/>
    <cellStyle name="Финансовый 2 2 11 2 2" xfId="17283"/>
    <cellStyle name="Финансовый 2 2 11 2 2 2" xfId="17284"/>
    <cellStyle name="Финансовый 2 2 11 2 2 3" xfId="17285"/>
    <cellStyle name="Финансовый 2 2 11 2 3" xfId="17286"/>
    <cellStyle name="Финансовый 2 2 11 2 4" xfId="17287"/>
    <cellStyle name="Финансовый 2 2 11 2 5" xfId="17288"/>
    <cellStyle name="Финансовый 2 2 11 3" xfId="17289"/>
    <cellStyle name="Финансовый 2 2 11 3 2" xfId="17290"/>
    <cellStyle name="Финансовый 2 2 11 3 3" xfId="17291"/>
    <cellStyle name="Финансовый 2 2 11 4" xfId="17292"/>
    <cellStyle name="Финансовый 2 2 11 5" xfId="17293"/>
    <cellStyle name="Финансовый 2 2 11 6" xfId="17294"/>
    <cellStyle name="Финансовый 2 2 12" xfId="17295"/>
    <cellStyle name="Финансовый 2 2 12 2" xfId="17296"/>
    <cellStyle name="Финансовый 2 2 12 2 2" xfId="17297"/>
    <cellStyle name="Финансовый 2 2 12 2 2 2" xfId="17298"/>
    <cellStyle name="Финансовый 2 2 12 2 2 3" xfId="17299"/>
    <cellStyle name="Финансовый 2 2 12 2 3" xfId="17300"/>
    <cellStyle name="Финансовый 2 2 12 2 4" xfId="17301"/>
    <cellStyle name="Финансовый 2 2 12 2 5" xfId="17302"/>
    <cellStyle name="Финансовый 2 2 12 3" xfId="17303"/>
    <cellStyle name="Финансовый 2 2 12 3 2" xfId="17304"/>
    <cellStyle name="Финансовый 2 2 12 3 3" xfId="17305"/>
    <cellStyle name="Финансовый 2 2 12 4" xfId="17306"/>
    <cellStyle name="Финансовый 2 2 12 5" xfId="17307"/>
    <cellStyle name="Финансовый 2 2 12 6" xfId="17308"/>
    <cellStyle name="Финансовый 2 2 13" xfId="17309"/>
    <cellStyle name="Финансовый 2 2 13 2" xfId="17310"/>
    <cellStyle name="Финансовый 2 2 13 2 2" xfId="17311"/>
    <cellStyle name="Финансовый 2 2 13 2 2 2" xfId="17312"/>
    <cellStyle name="Финансовый 2 2 13 2 2 3" xfId="17313"/>
    <cellStyle name="Финансовый 2 2 13 2 3" xfId="17314"/>
    <cellStyle name="Финансовый 2 2 13 2 4" xfId="17315"/>
    <cellStyle name="Финансовый 2 2 13 2 5" xfId="17316"/>
    <cellStyle name="Финансовый 2 2 13 3" xfId="17317"/>
    <cellStyle name="Финансовый 2 2 13 3 2" xfId="17318"/>
    <cellStyle name="Финансовый 2 2 13 3 3" xfId="17319"/>
    <cellStyle name="Финансовый 2 2 13 4" xfId="17320"/>
    <cellStyle name="Финансовый 2 2 13 5" xfId="17321"/>
    <cellStyle name="Финансовый 2 2 13 6" xfId="17322"/>
    <cellStyle name="Финансовый 2 2 14" xfId="17323"/>
    <cellStyle name="Финансовый 2 2 14 2" xfId="17324"/>
    <cellStyle name="Финансовый 2 2 14 2 2" xfId="17325"/>
    <cellStyle name="Финансовый 2 2 14 2 2 2" xfId="17326"/>
    <cellStyle name="Финансовый 2 2 14 2 2 3" xfId="17327"/>
    <cellStyle name="Финансовый 2 2 14 2 3" xfId="17328"/>
    <cellStyle name="Финансовый 2 2 14 2 4" xfId="17329"/>
    <cellStyle name="Финансовый 2 2 14 2 5" xfId="17330"/>
    <cellStyle name="Финансовый 2 2 14 3" xfId="17331"/>
    <cellStyle name="Финансовый 2 2 14 3 2" xfId="17332"/>
    <cellStyle name="Финансовый 2 2 14 3 3" xfId="17333"/>
    <cellStyle name="Финансовый 2 2 14 4" xfId="17334"/>
    <cellStyle name="Финансовый 2 2 14 5" xfId="17335"/>
    <cellStyle name="Финансовый 2 2 14 6" xfId="17336"/>
    <cellStyle name="Финансовый 2 2 15" xfId="17337"/>
    <cellStyle name="Финансовый 2 2 15 2" xfId="17338"/>
    <cellStyle name="Финансовый 2 2 15 2 2" xfId="17339"/>
    <cellStyle name="Финансовый 2 2 15 2 2 2" xfId="17340"/>
    <cellStyle name="Финансовый 2 2 15 2 2 3" xfId="17341"/>
    <cellStyle name="Финансовый 2 2 15 2 3" xfId="17342"/>
    <cellStyle name="Финансовый 2 2 15 2 4" xfId="17343"/>
    <cellStyle name="Финансовый 2 2 15 2 5" xfId="17344"/>
    <cellStyle name="Финансовый 2 2 15 3" xfId="17345"/>
    <cellStyle name="Финансовый 2 2 15 3 2" xfId="17346"/>
    <cellStyle name="Финансовый 2 2 15 3 3" xfId="17347"/>
    <cellStyle name="Финансовый 2 2 15 4" xfId="17348"/>
    <cellStyle name="Финансовый 2 2 15 5" xfId="17349"/>
    <cellStyle name="Финансовый 2 2 15 6" xfId="17350"/>
    <cellStyle name="Финансовый 2 2 16" xfId="17351"/>
    <cellStyle name="Финансовый 2 2 16 2" xfId="17352"/>
    <cellStyle name="Финансовый 2 2 16 2 2" xfId="17353"/>
    <cellStyle name="Финансовый 2 2 16 2 3" xfId="17354"/>
    <cellStyle name="Финансовый 2 2 16 3" xfId="17355"/>
    <cellStyle name="Финансовый 2 2 16 4" xfId="17356"/>
    <cellStyle name="Финансовый 2 2 16 5" xfId="17357"/>
    <cellStyle name="Финансовый 2 2 17" xfId="17358"/>
    <cellStyle name="Финансовый 2 2 17 2" xfId="17359"/>
    <cellStyle name="Финансовый 2 2 17 3" xfId="17360"/>
    <cellStyle name="Финансовый 2 2 18" xfId="17361"/>
    <cellStyle name="Финансовый 2 2 19" xfId="17362"/>
    <cellStyle name="Финансовый 2 2 2" xfId="17363"/>
    <cellStyle name="Финансовый 2 2 2 10" xfId="17364"/>
    <cellStyle name="Финансовый 2 2 2 10 2" xfId="17365"/>
    <cellStyle name="Финансовый 2 2 2 10 2 2" xfId="17366"/>
    <cellStyle name="Финансовый 2 2 2 10 2 3" xfId="17367"/>
    <cellStyle name="Финансовый 2 2 2 10 3" xfId="17368"/>
    <cellStyle name="Финансовый 2 2 2 10 4" xfId="17369"/>
    <cellStyle name="Финансовый 2 2 2 10 5" xfId="17370"/>
    <cellStyle name="Финансовый 2 2 2 11" xfId="17371"/>
    <cellStyle name="Финансовый 2 2 2 11 2" xfId="17372"/>
    <cellStyle name="Финансовый 2 2 2 11 3" xfId="17373"/>
    <cellStyle name="Финансовый 2 2 2 12" xfId="17374"/>
    <cellStyle name="Финансовый 2 2 2 13" xfId="17375"/>
    <cellStyle name="Финансовый 2 2 2 2" xfId="17376"/>
    <cellStyle name="Финансовый 2 2 2 2 10" xfId="17377"/>
    <cellStyle name="Финансовый 2 2 2 2 2" xfId="17378"/>
    <cellStyle name="Финансовый 2 2 2 2 3" xfId="17379"/>
    <cellStyle name="Финансовый 2 2 2 2 3 2" xfId="17380"/>
    <cellStyle name="Финансовый 2 2 2 2 3 2 2" xfId="17381"/>
    <cellStyle name="Финансовый 2 2 2 2 3 2 2 2" xfId="17382"/>
    <cellStyle name="Финансовый 2 2 2 2 3 2 2 3" xfId="17383"/>
    <cellStyle name="Финансовый 2 2 2 2 3 2 3" xfId="17384"/>
    <cellStyle name="Финансовый 2 2 2 2 3 2 4" xfId="17385"/>
    <cellStyle name="Финансовый 2 2 2 2 3 3" xfId="17386"/>
    <cellStyle name="Финансовый 2 2 2 2 3 3 2" xfId="17387"/>
    <cellStyle name="Финансовый 2 2 2 2 3 3 3" xfId="17388"/>
    <cellStyle name="Финансовый 2 2 2 2 3 4" xfId="17389"/>
    <cellStyle name="Финансовый 2 2 2 2 3 5" xfId="17390"/>
    <cellStyle name="Финансовый 2 2 2 2 4" xfId="17391"/>
    <cellStyle name="Финансовый 2 2 2 2 4 2" xfId="17392"/>
    <cellStyle name="Финансовый 2 2 2 2 4 2 2" xfId="17393"/>
    <cellStyle name="Финансовый 2 2 2 2 4 2 2 2" xfId="17394"/>
    <cellStyle name="Финансовый 2 2 2 2 4 2 2 3" xfId="17395"/>
    <cellStyle name="Финансовый 2 2 2 2 4 2 3" xfId="17396"/>
    <cellStyle name="Финансовый 2 2 2 2 4 2 4" xfId="17397"/>
    <cellStyle name="Финансовый 2 2 2 2 4 2 5" xfId="17398"/>
    <cellStyle name="Финансовый 2 2 2 2 4 3" xfId="17399"/>
    <cellStyle name="Финансовый 2 2 2 2 4 3 2" xfId="17400"/>
    <cellStyle name="Финансовый 2 2 2 2 4 3 3" xfId="17401"/>
    <cellStyle name="Финансовый 2 2 2 2 4 4" xfId="17402"/>
    <cellStyle name="Финансовый 2 2 2 2 4 5" xfId="17403"/>
    <cellStyle name="Финансовый 2 2 2 2 4 6" xfId="17404"/>
    <cellStyle name="Финансовый 2 2 2 2 5" xfId="17405"/>
    <cellStyle name="Финансовый 2 2 2 2 5 2" xfId="17406"/>
    <cellStyle name="Финансовый 2 2 2 2 5 2 2" xfId="17407"/>
    <cellStyle name="Финансовый 2 2 2 2 5 2 2 2" xfId="17408"/>
    <cellStyle name="Финансовый 2 2 2 2 5 2 2 3" xfId="17409"/>
    <cellStyle name="Финансовый 2 2 2 2 5 2 3" xfId="17410"/>
    <cellStyle name="Финансовый 2 2 2 2 5 2 4" xfId="17411"/>
    <cellStyle name="Финансовый 2 2 2 2 5 2 5" xfId="17412"/>
    <cellStyle name="Финансовый 2 2 2 2 5 3" xfId="17413"/>
    <cellStyle name="Финансовый 2 2 2 2 5 3 2" xfId="17414"/>
    <cellStyle name="Финансовый 2 2 2 2 5 3 3" xfId="17415"/>
    <cellStyle name="Финансовый 2 2 2 2 5 4" xfId="17416"/>
    <cellStyle name="Финансовый 2 2 2 2 5 5" xfId="17417"/>
    <cellStyle name="Финансовый 2 2 2 2 5 6" xfId="17418"/>
    <cellStyle name="Финансовый 2 2 2 2 6" xfId="17419"/>
    <cellStyle name="Финансовый 2 2 2 2 6 2" xfId="17420"/>
    <cellStyle name="Финансовый 2 2 2 2 6 2 2" xfId="17421"/>
    <cellStyle name="Финансовый 2 2 2 2 6 2 2 2" xfId="17422"/>
    <cellStyle name="Финансовый 2 2 2 2 6 2 2 3" xfId="17423"/>
    <cellStyle name="Финансовый 2 2 2 2 6 2 3" xfId="17424"/>
    <cellStyle name="Финансовый 2 2 2 2 6 2 4" xfId="17425"/>
    <cellStyle name="Финансовый 2 2 2 2 6 2 5" xfId="17426"/>
    <cellStyle name="Финансовый 2 2 2 2 6 3" xfId="17427"/>
    <cellStyle name="Финансовый 2 2 2 2 6 3 2" xfId="17428"/>
    <cellStyle name="Финансовый 2 2 2 2 6 3 3" xfId="17429"/>
    <cellStyle name="Финансовый 2 2 2 2 6 4" xfId="17430"/>
    <cellStyle name="Финансовый 2 2 2 2 6 5" xfId="17431"/>
    <cellStyle name="Финансовый 2 2 2 2 6 6" xfId="17432"/>
    <cellStyle name="Финансовый 2 2 2 2 7" xfId="17433"/>
    <cellStyle name="Финансовый 2 2 2 2 7 2" xfId="17434"/>
    <cellStyle name="Финансовый 2 2 2 2 7 2 2" xfId="17435"/>
    <cellStyle name="Финансовый 2 2 2 2 7 2 3" xfId="17436"/>
    <cellStyle name="Финансовый 2 2 2 2 7 3" xfId="17437"/>
    <cellStyle name="Финансовый 2 2 2 2 7 4" xfId="17438"/>
    <cellStyle name="Финансовый 2 2 2 2 7 5" xfId="17439"/>
    <cellStyle name="Финансовый 2 2 2 2 8" xfId="17440"/>
    <cellStyle name="Финансовый 2 2 2 2 8 2" xfId="17441"/>
    <cellStyle name="Финансовый 2 2 2 2 8 3" xfId="17442"/>
    <cellStyle name="Финансовый 2 2 2 2 9" xfId="17443"/>
    <cellStyle name="Финансовый 2 2 2 3" xfId="17444"/>
    <cellStyle name="Финансовый 2 2 2 3 10" xfId="17445"/>
    <cellStyle name="Финансовый 2 2 2 3 2" xfId="17446"/>
    <cellStyle name="Финансовый 2 2 2 3 3" xfId="17447"/>
    <cellStyle name="Финансовый 2 2 2 3 3 2" xfId="17448"/>
    <cellStyle name="Финансовый 2 2 2 3 3 2 2" xfId="17449"/>
    <cellStyle name="Финансовый 2 2 2 3 3 2 2 2" xfId="17450"/>
    <cellStyle name="Финансовый 2 2 2 3 3 2 2 3" xfId="17451"/>
    <cellStyle name="Финансовый 2 2 2 3 3 2 3" xfId="17452"/>
    <cellStyle name="Финансовый 2 2 2 3 3 2 4" xfId="17453"/>
    <cellStyle name="Финансовый 2 2 2 3 3 3" xfId="17454"/>
    <cellStyle name="Финансовый 2 2 2 3 3 3 2" xfId="17455"/>
    <cellStyle name="Финансовый 2 2 2 3 3 3 3" xfId="17456"/>
    <cellStyle name="Финансовый 2 2 2 3 3 4" xfId="17457"/>
    <cellStyle name="Финансовый 2 2 2 3 3 5" xfId="17458"/>
    <cellStyle name="Финансовый 2 2 2 3 4" xfId="17459"/>
    <cellStyle name="Финансовый 2 2 2 3 4 2" xfId="17460"/>
    <cellStyle name="Финансовый 2 2 2 3 4 2 2" xfId="17461"/>
    <cellStyle name="Финансовый 2 2 2 3 4 2 2 2" xfId="17462"/>
    <cellStyle name="Финансовый 2 2 2 3 4 2 2 3" xfId="17463"/>
    <cellStyle name="Финансовый 2 2 2 3 4 2 3" xfId="17464"/>
    <cellStyle name="Финансовый 2 2 2 3 4 2 4" xfId="17465"/>
    <cellStyle name="Финансовый 2 2 2 3 4 2 5" xfId="17466"/>
    <cellStyle name="Финансовый 2 2 2 3 4 3" xfId="17467"/>
    <cellStyle name="Финансовый 2 2 2 3 4 3 2" xfId="17468"/>
    <cellStyle name="Финансовый 2 2 2 3 4 3 3" xfId="17469"/>
    <cellStyle name="Финансовый 2 2 2 3 4 4" xfId="17470"/>
    <cellStyle name="Финансовый 2 2 2 3 4 5" xfId="17471"/>
    <cellStyle name="Финансовый 2 2 2 3 4 6" xfId="17472"/>
    <cellStyle name="Финансовый 2 2 2 3 5" xfId="17473"/>
    <cellStyle name="Финансовый 2 2 2 3 5 2" xfId="17474"/>
    <cellStyle name="Финансовый 2 2 2 3 5 2 2" xfId="17475"/>
    <cellStyle name="Финансовый 2 2 2 3 5 2 2 2" xfId="17476"/>
    <cellStyle name="Финансовый 2 2 2 3 5 2 2 3" xfId="17477"/>
    <cellStyle name="Финансовый 2 2 2 3 5 2 3" xfId="17478"/>
    <cellStyle name="Финансовый 2 2 2 3 5 2 4" xfId="17479"/>
    <cellStyle name="Финансовый 2 2 2 3 5 2 5" xfId="17480"/>
    <cellStyle name="Финансовый 2 2 2 3 5 3" xfId="17481"/>
    <cellStyle name="Финансовый 2 2 2 3 5 3 2" xfId="17482"/>
    <cellStyle name="Финансовый 2 2 2 3 5 3 3" xfId="17483"/>
    <cellStyle name="Финансовый 2 2 2 3 5 4" xfId="17484"/>
    <cellStyle name="Финансовый 2 2 2 3 5 5" xfId="17485"/>
    <cellStyle name="Финансовый 2 2 2 3 5 6" xfId="17486"/>
    <cellStyle name="Финансовый 2 2 2 3 6" xfId="17487"/>
    <cellStyle name="Финансовый 2 2 2 3 6 2" xfId="17488"/>
    <cellStyle name="Финансовый 2 2 2 3 6 2 2" xfId="17489"/>
    <cellStyle name="Финансовый 2 2 2 3 6 2 2 2" xfId="17490"/>
    <cellStyle name="Финансовый 2 2 2 3 6 2 2 3" xfId="17491"/>
    <cellStyle name="Финансовый 2 2 2 3 6 2 3" xfId="17492"/>
    <cellStyle name="Финансовый 2 2 2 3 6 2 4" xfId="17493"/>
    <cellStyle name="Финансовый 2 2 2 3 6 2 5" xfId="17494"/>
    <cellStyle name="Финансовый 2 2 2 3 6 3" xfId="17495"/>
    <cellStyle name="Финансовый 2 2 2 3 6 3 2" xfId="17496"/>
    <cellStyle name="Финансовый 2 2 2 3 6 3 3" xfId="17497"/>
    <cellStyle name="Финансовый 2 2 2 3 6 4" xfId="17498"/>
    <cellStyle name="Финансовый 2 2 2 3 6 5" xfId="17499"/>
    <cellStyle name="Финансовый 2 2 2 3 6 6" xfId="17500"/>
    <cellStyle name="Финансовый 2 2 2 3 7" xfId="17501"/>
    <cellStyle name="Финансовый 2 2 2 3 7 2" xfId="17502"/>
    <cellStyle name="Финансовый 2 2 2 3 7 2 2" xfId="17503"/>
    <cellStyle name="Финансовый 2 2 2 3 7 2 3" xfId="17504"/>
    <cellStyle name="Финансовый 2 2 2 3 7 3" xfId="17505"/>
    <cellStyle name="Финансовый 2 2 2 3 7 4" xfId="17506"/>
    <cellStyle name="Финансовый 2 2 2 3 7 5" xfId="17507"/>
    <cellStyle name="Финансовый 2 2 2 3 8" xfId="17508"/>
    <cellStyle name="Финансовый 2 2 2 3 8 2" xfId="17509"/>
    <cellStyle name="Финансовый 2 2 2 3 8 3" xfId="17510"/>
    <cellStyle name="Финансовый 2 2 2 3 9" xfId="17511"/>
    <cellStyle name="Финансовый 2 2 2 4" xfId="17512"/>
    <cellStyle name="Финансовый 2 2 2 4 10" xfId="17513"/>
    <cellStyle name="Финансовый 2 2 2 4 2" xfId="17514"/>
    <cellStyle name="Финансовый 2 2 2 4 3" xfId="17515"/>
    <cellStyle name="Финансовый 2 2 2 4 3 2" xfId="17516"/>
    <cellStyle name="Финансовый 2 2 2 4 3 2 2" xfId="17517"/>
    <cellStyle name="Финансовый 2 2 2 4 3 2 2 2" xfId="17518"/>
    <cellStyle name="Финансовый 2 2 2 4 3 2 2 3" xfId="17519"/>
    <cellStyle name="Финансовый 2 2 2 4 3 2 3" xfId="17520"/>
    <cellStyle name="Финансовый 2 2 2 4 3 2 4" xfId="17521"/>
    <cellStyle name="Финансовый 2 2 2 4 3 3" xfId="17522"/>
    <cellStyle name="Финансовый 2 2 2 4 3 3 2" xfId="17523"/>
    <cellStyle name="Финансовый 2 2 2 4 3 3 3" xfId="17524"/>
    <cellStyle name="Финансовый 2 2 2 4 3 4" xfId="17525"/>
    <cellStyle name="Финансовый 2 2 2 4 3 5" xfId="17526"/>
    <cellStyle name="Финансовый 2 2 2 4 4" xfId="17527"/>
    <cellStyle name="Финансовый 2 2 2 4 4 2" xfId="17528"/>
    <cellStyle name="Финансовый 2 2 2 4 4 2 2" xfId="17529"/>
    <cellStyle name="Финансовый 2 2 2 4 4 2 2 2" xfId="17530"/>
    <cellStyle name="Финансовый 2 2 2 4 4 2 2 3" xfId="17531"/>
    <cellStyle name="Финансовый 2 2 2 4 4 2 3" xfId="17532"/>
    <cellStyle name="Финансовый 2 2 2 4 4 2 4" xfId="17533"/>
    <cellStyle name="Финансовый 2 2 2 4 4 2 5" xfId="17534"/>
    <cellStyle name="Финансовый 2 2 2 4 4 3" xfId="17535"/>
    <cellStyle name="Финансовый 2 2 2 4 4 3 2" xfId="17536"/>
    <cellStyle name="Финансовый 2 2 2 4 4 3 3" xfId="17537"/>
    <cellStyle name="Финансовый 2 2 2 4 4 4" xfId="17538"/>
    <cellStyle name="Финансовый 2 2 2 4 4 5" xfId="17539"/>
    <cellStyle name="Финансовый 2 2 2 4 4 6" xfId="17540"/>
    <cellStyle name="Финансовый 2 2 2 4 5" xfId="17541"/>
    <cellStyle name="Финансовый 2 2 2 4 5 2" xfId="17542"/>
    <cellStyle name="Финансовый 2 2 2 4 5 2 2" xfId="17543"/>
    <cellStyle name="Финансовый 2 2 2 4 5 2 2 2" xfId="17544"/>
    <cellStyle name="Финансовый 2 2 2 4 5 2 2 3" xfId="17545"/>
    <cellStyle name="Финансовый 2 2 2 4 5 2 3" xfId="17546"/>
    <cellStyle name="Финансовый 2 2 2 4 5 2 4" xfId="17547"/>
    <cellStyle name="Финансовый 2 2 2 4 5 2 5" xfId="17548"/>
    <cellStyle name="Финансовый 2 2 2 4 5 3" xfId="17549"/>
    <cellStyle name="Финансовый 2 2 2 4 5 3 2" xfId="17550"/>
    <cellStyle name="Финансовый 2 2 2 4 5 3 3" xfId="17551"/>
    <cellStyle name="Финансовый 2 2 2 4 5 4" xfId="17552"/>
    <cellStyle name="Финансовый 2 2 2 4 5 5" xfId="17553"/>
    <cellStyle name="Финансовый 2 2 2 4 5 6" xfId="17554"/>
    <cellStyle name="Финансовый 2 2 2 4 6" xfId="17555"/>
    <cellStyle name="Финансовый 2 2 2 4 6 2" xfId="17556"/>
    <cellStyle name="Финансовый 2 2 2 4 6 2 2" xfId="17557"/>
    <cellStyle name="Финансовый 2 2 2 4 6 2 2 2" xfId="17558"/>
    <cellStyle name="Финансовый 2 2 2 4 6 2 2 3" xfId="17559"/>
    <cellStyle name="Финансовый 2 2 2 4 6 2 3" xfId="17560"/>
    <cellStyle name="Финансовый 2 2 2 4 6 2 4" xfId="17561"/>
    <cellStyle name="Финансовый 2 2 2 4 6 2 5" xfId="17562"/>
    <cellStyle name="Финансовый 2 2 2 4 6 3" xfId="17563"/>
    <cellStyle name="Финансовый 2 2 2 4 6 3 2" xfId="17564"/>
    <cellStyle name="Финансовый 2 2 2 4 6 3 3" xfId="17565"/>
    <cellStyle name="Финансовый 2 2 2 4 6 4" xfId="17566"/>
    <cellStyle name="Финансовый 2 2 2 4 6 5" xfId="17567"/>
    <cellStyle name="Финансовый 2 2 2 4 6 6" xfId="17568"/>
    <cellStyle name="Финансовый 2 2 2 4 7" xfId="17569"/>
    <cellStyle name="Финансовый 2 2 2 4 7 2" xfId="17570"/>
    <cellStyle name="Финансовый 2 2 2 4 7 2 2" xfId="17571"/>
    <cellStyle name="Финансовый 2 2 2 4 7 2 3" xfId="17572"/>
    <cellStyle name="Финансовый 2 2 2 4 7 3" xfId="17573"/>
    <cellStyle name="Финансовый 2 2 2 4 7 4" xfId="17574"/>
    <cellStyle name="Финансовый 2 2 2 4 7 5" xfId="17575"/>
    <cellStyle name="Финансовый 2 2 2 4 8" xfId="17576"/>
    <cellStyle name="Финансовый 2 2 2 4 8 2" xfId="17577"/>
    <cellStyle name="Финансовый 2 2 2 4 8 3" xfId="17578"/>
    <cellStyle name="Финансовый 2 2 2 4 9" xfId="17579"/>
    <cellStyle name="Финансовый 2 2 2 5" xfId="17580"/>
    <cellStyle name="Финансовый 2 2 2 6" xfId="17581"/>
    <cellStyle name="Финансовый 2 2 2 6 2" xfId="17582"/>
    <cellStyle name="Финансовый 2 2 2 6 2 2" xfId="17583"/>
    <cellStyle name="Финансовый 2 2 2 6 2 2 2" xfId="17584"/>
    <cellStyle name="Финансовый 2 2 2 6 2 2 3" xfId="17585"/>
    <cellStyle name="Финансовый 2 2 2 6 2 3" xfId="17586"/>
    <cellStyle name="Финансовый 2 2 2 6 2 4" xfId="17587"/>
    <cellStyle name="Финансовый 2 2 2 6 3" xfId="17588"/>
    <cellStyle name="Финансовый 2 2 2 6 3 2" xfId="17589"/>
    <cellStyle name="Финансовый 2 2 2 6 3 3" xfId="17590"/>
    <cellStyle name="Финансовый 2 2 2 6 4" xfId="17591"/>
    <cellStyle name="Финансовый 2 2 2 6 5" xfId="17592"/>
    <cellStyle name="Финансовый 2 2 2 7" xfId="17593"/>
    <cellStyle name="Финансовый 2 2 2 7 2" xfId="17594"/>
    <cellStyle name="Финансовый 2 2 2 7 2 2" xfId="17595"/>
    <cellStyle name="Финансовый 2 2 2 7 2 2 2" xfId="17596"/>
    <cellStyle name="Финансовый 2 2 2 7 2 2 3" xfId="17597"/>
    <cellStyle name="Финансовый 2 2 2 7 2 3" xfId="17598"/>
    <cellStyle name="Финансовый 2 2 2 7 2 4" xfId="17599"/>
    <cellStyle name="Финансовый 2 2 2 7 2 5" xfId="17600"/>
    <cellStyle name="Финансовый 2 2 2 7 3" xfId="17601"/>
    <cellStyle name="Финансовый 2 2 2 7 3 2" xfId="17602"/>
    <cellStyle name="Финансовый 2 2 2 7 3 3" xfId="17603"/>
    <cellStyle name="Финансовый 2 2 2 7 4" xfId="17604"/>
    <cellStyle name="Финансовый 2 2 2 7 5" xfId="17605"/>
    <cellStyle name="Финансовый 2 2 2 7 6" xfId="17606"/>
    <cellStyle name="Финансовый 2 2 2 8" xfId="17607"/>
    <cellStyle name="Финансовый 2 2 2 8 2" xfId="17608"/>
    <cellStyle name="Финансовый 2 2 2 8 2 2" xfId="17609"/>
    <cellStyle name="Финансовый 2 2 2 8 2 2 2" xfId="17610"/>
    <cellStyle name="Финансовый 2 2 2 8 2 2 3" xfId="17611"/>
    <cellStyle name="Финансовый 2 2 2 8 2 3" xfId="17612"/>
    <cellStyle name="Финансовый 2 2 2 8 2 4" xfId="17613"/>
    <cellStyle name="Финансовый 2 2 2 8 2 5" xfId="17614"/>
    <cellStyle name="Финансовый 2 2 2 8 3" xfId="17615"/>
    <cellStyle name="Финансовый 2 2 2 8 3 2" xfId="17616"/>
    <cellStyle name="Финансовый 2 2 2 8 3 3" xfId="17617"/>
    <cellStyle name="Финансовый 2 2 2 8 4" xfId="17618"/>
    <cellStyle name="Финансовый 2 2 2 8 5" xfId="17619"/>
    <cellStyle name="Финансовый 2 2 2 8 6" xfId="17620"/>
    <cellStyle name="Финансовый 2 2 2 9" xfId="17621"/>
    <cellStyle name="Финансовый 2 2 2 9 2" xfId="17622"/>
    <cellStyle name="Финансовый 2 2 2 9 2 2" xfId="17623"/>
    <cellStyle name="Финансовый 2 2 2 9 2 2 2" xfId="17624"/>
    <cellStyle name="Финансовый 2 2 2 9 2 2 3" xfId="17625"/>
    <cellStyle name="Финансовый 2 2 2 9 2 3" xfId="17626"/>
    <cellStyle name="Финансовый 2 2 2 9 2 4" xfId="17627"/>
    <cellStyle name="Финансовый 2 2 2 9 2 5" xfId="17628"/>
    <cellStyle name="Финансовый 2 2 2 9 3" xfId="17629"/>
    <cellStyle name="Финансовый 2 2 2 9 3 2" xfId="17630"/>
    <cellStyle name="Финансовый 2 2 2 9 3 3" xfId="17631"/>
    <cellStyle name="Финансовый 2 2 2 9 4" xfId="17632"/>
    <cellStyle name="Финансовый 2 2 2 9 5" xfId="17633"/>
    <cellStyle name="Финансовый 2 2 2 9 6" xfId="17634"/>
    <cellStyle name="Финансовый 2 2 20" xfId="17635"/>
    <cellStyle name="Финансовый 2 2 3" xfId="17636"/>
    <cellStyle name="Финансовый 2 2 3 2" xfId="17637"/>
    <cellStyle name="Финансовый 2 2 3 3" xfId="17638"/>
    <cellStyle name="Финансовый 2 2 4" xfId="17639"/>
    <cellStyle name="Финансовый 2 2 4 10" xfId="17640"/>
    <cellStyle name="Финансовый 2 2 4 2" xfId="17641"/>
    <cellStyle name="Финансовый 2 2 4 3" xfId="17642"/>
    <cellStyle name="Финансовый 2 2 4 3 2" xfId="17643"/>
    <cellStyle name="Финансовый 2 2 4 3 2 2" xfId="17644"/>
    <cellStyle name="Финансовый 2 2 4 3 2 2 2" xfId="17645"/>
    <cellStyle name="Финансовый 2 2 4 3 2 2 3" xfId="17646"/>
    <cellStyle name="Финансовый 2 2 4 3 2 3" xfId="17647"/>
    <cellStyle name="Финансовый 2 2 4 3 2 4" xfId="17648"/>
    <cellStyle name="Финансовый 2 2 4 3 3" xfId="17649"/>
    <cellStyle name="Финансовый 2 2 4 3 3 2" xfId="17650"/>
    <cellStyle name="Финансовый 2 2 4 3 3 3" xfId="17651"/>
    <cellStyle name="Финансовый 2 2 4 3 4" xfId="17652"/>
    <cellStyle name="Финансовый 2 2 4 3 5" xfId="17653"/>
    <cellStyle name="Финансовый 2 2 4 4" xfId="17654"/>
    <cellStyle name="Финансовый 2 2 4 4 2" xfId="17655"/>
    <cellStyle name="Финансовый 2 2 4 4 2 2" xfId="17656"/>
    <cellStyle name="Финансовый 2 2 4 4 2 2 2" xfId="17657"/>
    <cellStyle name="Финансовый 2 2 4 4 2 2 3" xfId="17658"/>
    <cellStyle name="Финансовый 2 2 4 4 2 3" xfId="17659"/>
    <cellStyle name="Финансовый 2 2 4 4 2 4" xfId="17660"/>
    <cellStyle name="Финансовый 2 2 4 4 2 5" xfId="17661"/>
    <cellStyle name="Финансовый 2 2 4 4 3" xfId="17662"/>
    <cellStyle name="Финансовый 2 2 4 4 3 2" xfId="17663"/>
    <cellStyle name="Финансовый 2 2 4 4 3 3" xfId="17664"/>
    <cellStyle name="Финансовый 2 2 4 4 4" xfId="17665"/>
    <cellStyle name="Финансовый 2 2 4 4 5" xfId="17666"/>
    <cellStyle name="Финансовый 2 2 4 4 6" xfId="17667"/>
    <cellStyle name="Финансовый 2 2 4 5" xfId="17668"/>
    <cellStyle name="Финансовый 2 2 4 5 2" xfId="17669"/>
    <cellStyle name="Финансовый 2 2 4 5 2 2" xfId="17670"/>
    <cellStyle name="Финансовый 2 2 4 5 2 2 2" xfId="17671"/>
    <cellStyle name="Финансовый 2 2 4 5 2 2 3" xfId="17672"/>
    <cellStyle name="Финансовый 2 2 4 5 2 3" xfId="17673"/>
    <cellStyle name="Финансовый 2 2 4 5 2 4" xfId="17674"/>
    <cellStyle name="Финансовый 2 2 4 5 2 5" xfId="17675"/>
    <cellStyle name="Финансовый 2 2 4 5 3" xfId="17676"/>
    <cellStyle name="Финансовый 2 2 4 5 3 2" xfId="17677"/>
    <cellStyle name="Финансовый 2 2 4 5 3 3" xfId="17678"/>
    <cellStyle name="Финансовый 2 2 4 5 4" xfId="17679"/>
    <cellStyle name="Финансовый 2 2 4 5 5" xfId="17680"/>
    <cellStyle name="Финансовый 2 2 4 5 6" xfId="17681"/>
    <cellStyle name="Финансовый 2 2 4 6" xfId="17682"/>
    <cellStyle name="Финансовый 2 2 4 6 2" xfId="17683"/>
    <cellStyle name="Финансовый 2 2 4 6 2 2" xfId="17684"/>
    <cellStyle name="Финансовый 2 2 4 6 2 2 2" xfId="17685"/>
    <cellStyle name="Финансовый 2 2 4 6 2 2 3" xfId="17686"/>
    <cellStyle name="Финансовый 2 2 4 6 2 3" xfId="17687"/>
    <cellStyle name="Финансовый 2 2 4 6 2 4" xfId="17688"/>
    <cellStyle name="Финансовый 2 2 4 6 2 5" xfId="17689"/>
    <cellStyle name="Финансовый 2 2 4 6 3" xfId="17690"/>
    <cellStyle name="Финансовый 2 2 4 6 3 2" xfId="17691"/>
    <cellStyle name="Финансовый 2 2 4 6 3 3" xfId="17692"/>
    <cellStyle name="Финансовый 2 2 4 6 4" xfId="17693"/>
    <cellStyle name="Финансовый 2 2 4 6 5" xfId="17694"/>
    <cellStyle name="Финансовый 2 2 4 6 6" xfId="17695"/>
    <cellStyle name="Финансовый 2 2 4 7" xfId="17696"/>
    <cellStyle name="Финансовый 2 2 4 7 2" xfId="17697"/>
    <cellStyle name="Финансовый 2 2 4 7 2 2" xfId="17698"/>
    <cellStyle name="Финансовый 2 2 4 7 2 3" xfId="17699"/>
    <cellStyle name="Финансовый 2 2 4 7 3" xfId="17700"/>
    <cellStyle name="Финансовый 2 2 4 7 4" xfId="17701"/>
    <cellStyle name="Финансовый 2 2 4 7 5" xfId="17702"/>
    <cellStyle name="Финансовый 2 2 4 8" xfId="17703"/>
    <cellStyle name="Финансовый 2 2 4 8 2" xfId="17704"/>
    <cellStyle name="Финансовый 2 2 4 8 3" xfId="17705"/>
    <cellStyle name="Финансовый 2 2 4 9" xfId="17706"/>
    <cellStyle name="Финансовый 2 2 5" xfId="17707"/>
    <cellStyle name="Финансовый 2 2 5 10" xfId="17708"/>
    <cellStyle name="Финансовый 2 2 5 2" xfId="17709"/>
    <cellStyle name="Финансовый 2 2 5 3" xfId="17710"/>
    <cellStyle name="Финансовый 2 2 5 3 2" xfId="17711"/>
    <cellStyle name="Финансовый 2 2 5 3 2 2" xfId="17712"/>
    <cellStyle name="Финансовый 2 2 5 3 2 2 2" xfId="17713"/>
    <cellStyle name="Финансовый 2 2 5 3 2 2 3" xfId="17714"/>
    <cellStyle name="Финансовый 2 2 5 3 2 3" xfId="17715"/>
    <cellStyle name="Финансовый 2 2 5 3 2 4" xfId="17716"/>
    <cellStyle name="Финансовый 2 2 5 3 3" xfId="17717"/>
    <cellStyle name="Финансовый 2 2 5 3 3 2" xfId="17718"/>
    <cellStyle name="Финансовый 2 2 5 3 3 3" xfId="17719"/>
    <cellStyle name="Финансовый 2 2 5 3 4" xfId="17720"/>
    <cellStyle name="Финансовый 2 2 5 3 5" xfId="17721"/>
    <cellStyle name="Финансовый 2 2 5 4" xfId="17722"/>
    <cellStyle name="Финансовый 2 2 5 4 2" xfId="17723"/>
    <cellStyle name="Финансовый 2 2 5 4 2 2" xfId="17724"/>
    <cellStyle name="Финансовый 2 2 5 4 2 2 2" xfId="17725"/>
    <cellStyle name="Финансовый 2 2 5 4 2 2 3" xfId="17726"/>
    <cellStyle name="Финансовый 2 2 5 4 2 3" xfId="17727"/>
    <cellStyle name="Финансовый 2 2 5 4 2 4" xfId="17728"/>
    <cellStyle name="Финансовый 2 2 5 4 2 5" xfId="17729"/>
    <cellStyle name="Финансовый 2 2 5 4 3" xfId="17730"/>
    <cellStyle name="Финансовый 2 2 5 4 3 2" xfId="17731"/>
    <cellStyle name="Финансовый 2 2 5 4 3 3" xfId="17732"/>
    <cellStyle name="Финансовый 2 2 5 4 4" xfId="17733"/>
    <cellStyle name="Финансовый 2 2 5 4 5" xfId="17734"/>
    <cellStyle name="Финансовый 2 2 5 4 6" xfId="17735"/>
    <cellStyle name="Финансовый 2 2 5 5" xfId="17736"/>
    <cellStyle name="Финансовый 2 2 5 5 2" xfId="17737"/>
    <cellStyle name="Финансовый 2 2 5 5 2 2" xfId="17738"/>
    <cellStyle name="Финансовый 2 2 5 5 2 2 2" xfId="17739"/>
    <cellStyle name="Финансовый 2 2 5 5 2 2 3" xfId="17740"/>
    <cellStyle name="Финансовый 2 2 5 5 2 3" xfId="17741"/>
    <cellStyle name="Финансовый 2 2 5 5 2 4" xfId="17742"/>
    <cellStyle name="Финансовый 2 2 5 5 2 5" xfId="17743"/>
    <cellStyle name="Финансовый 2 2 5 5 3" xfId="17744"/>
    <cellStyle name="Финансовый 2 2 5 5 3 2" xfId="17745"/>
    <cellStyle name="Финансовый 2 2 5 5 3 3" xfId="17746"/>
    <cellStyle name="Финансовый 2 2 5 5 4" xfId="17747"/>
    <cellStyle name="Финансовый 2 2 5 5 5" xfId="17748"/>
    <cellStyle name="Финансовый 2 2 5 5 6" xfId="17749"/>
    <cellStyle name="Финансовый 2 2 5 6" xfId="17750"/>
    <cellStyle name="Финансовый 2 2 5 6 2" xfId="17751"/>
    <cellStyle name="Финансовый 2 2 5 6 2 2" xfId="17752"/>
    <cellStyle name="Финансовый 2 2 5 6 2 2 2" xfId="17753"/>
    <cellStyle name="Финансовый 2 2 5 6 2 2 3" xfId="17754"/>
    <cellStyle name="Финансовый 2 2 5 6 2 3" xfId="17755"/>
    <cellStyle name="Финансовый 2 2 5 6 2 4" xfId="17756"/>
    <cellStyle name="Финансовый 2 2 5 6 2 5" xfId="17757"/>
    <cellStyle name="Финансовый 2 2 5 6 3" xfId="17758"/>
    <cellStyle name="Финансовый 2 2 5 6 3 2" xfId="17759"/>
    <cellStyle name="Финансовый 2 2 5 6 3 3" xfId="17760"/>
    <cellStyle name="Финансовый 2 2 5 6 4" xfId="17761"/>
    <cellStyle name="Финансовый 2 2 5 6 5" xfId="17762"/>
    <cellStyle name="Финансовый 2 2 5 6 6" xfId="17763"/>
    <cellStyle name="Финансовый 2 2 5 7" xfId="17764"/>
    <cellStyle name="Финансовый 2 2 5 7 2" xfId="17765"/>
    <cellStyle name="Финансовый 2 2 5 7 2 2" xfId="17766"/>
    <cellStyle name="Финансовый 2 2 5 7 2 3" xfId="17767"/>
    <cellStyle name="Финансовый 2 2 5 7 3" xfId="17768"/>
    <cellStyle name="Финансовый 2 2 5 7 4" xfId="17769"/>
    <cellStyle name="Финансовый 2 2 5 7 5" xfId="17770"/>
    <cellStyle name="Финансовый 2 2 5 8" xfId="17771"/>
    <cellStyle name="Финансовый 2 2 5 8 2" xfId="17772"/>
    <cellStyle name="Финансовый 2 2 5 8 3" xfId="17773"/>
    <cellStyle name="Финансовый 2 2 5 9" xfId="17774"/>
    <cellStyle name="Финансовый 2 2 6" xfId="17775"/>
    <cellStyle name="Финансовый 2 2 6 10" xfId="17776"/>
    <cellStyle name="Финансовый 2 2 6 2" xfId="17777"/>
    <cellStyle name="Финансовый 2 2 6 3" xfId="17778"/>
    <cellStyle name="Финансовый 2 2 6 3 2" xfId="17779"/>
    <cellStyle name="Финансовый 2 2 6 3 2 2" xfId="17780"/>
    <cellStyle name="Финансовый 2 2 6 3 2 2 2" xfId="17781"/>
    <cellStyle name="Финансовый 2 2 6 3 2 2 3" xfId="17782"/>
    <cellStyle name="Финансовый 2 2 6 3 2 3" xfId="17783"/>
    <cellStyle name="Финансовый 2 2 6 3 2 4" xfId="17784"/>
    <cellStyle name="Финансовый 2 2 6 3 3" xfId="17785"/>
    <cellStyle name="Финансовый 2 2 6 3 3 2" xfId="17786"/>
    <cellStyle name="Финансовый 2 2 6 3 3 3" xfId="17787"/>
    <cellStyle name="Финансовый 2 2 6 3 4" xfId="17788"/>
    <cellStyle name="Финансовый 2 2 6 3 5" xfId="17789"/>
    <cellStyle name="Финансовый 2 2 6 4" xfId="17790"/>
    <cellStyle name="Финансовый 2 2 6 4 2" xfId="17791"/>
    <cellStyle name="Финансовый 2 2 6 4 2 2" xfId="17792"/>
    <cellStyle name="Финансовый 2 2 6 4 2 2 2" xfId="17793"/>
    <cellStyle name="Финансовый 2 2 6 4 2 2 3" xfId="17794"/>
    <cellStyle name="Финансовый 2 2 6 4 2 3" xfId="17795"/>
    <cellStyle name="Финансовый 2 2 6 4 2 4" xfId="17796"/>
    <cellStyle name="Финансовый 2 2 6 4 2 5" xfId="17797"/>
    <cellStyle name="Финансовый 2 2 6 4 3" xfId="17798"/>
    <cellStyle name="Финансовый 2 2 6 4 3 2" xfId="17799"/>
    <cellStyle name="Финансовый 2 2 6 4 3 3" xfId="17800"/>
    <cellStyle name="Финансовый 2 2 6 4 4" xfId="17801"/>
    <cellStyle name="Финансовый 2 2 6 4 5" xfId="17802"/>
    <cellStyle name="Финансовый 2 2 6 4 6" xfId="17803"/>
    <cellStyle name="Финансовый 2 2 6 5" xfId="17804"/>
    <cellStyle name="Финансовый 2 2 6 5 2" xfId="17805"/>
    <cellStyle name="Финансовый 2 2 6 5 2 2" xfId="17806"/>
    <cellStyle name="Финансовый 2 2 6 5 2 2 2" xfId="17807"/>
    <cellStyle name="Финансовый 2 2 6 5 2 2 3" xfId="17808"/>
    <cellStyle name="Финансовый 2 2 6 5 2 3" xfId="17809"/>
    <cellStyle name="Финансовый 2 2 6 5 2 4" xfId="17810"/>
    <cellStyle name="Финансовый 2 2 6 5 2 5" xfId="17811"/>
    <cellStyle name="Финансовый 2 2 6 5 3" xfId="17812"/>
    <cellStyle name="Финансовый 2 2 6 5 3 2" xfId="17813"/>
    <cellStyle name="Финансовый 2 2 6 5 3 3" xfId="17814"/>
    <cellStyle name="Финансовый 2 2 6 5 4" xfId="17815"/>
    <cellStyle name="Финансовый 2 2 6 5 5" xfId="17816"/>
    <cellStyle name="Финансовый 2 2 6 5 6" xfId="17817"/>
    <cellStyle name="Финансовый 2 2 6 6" xfId="17818"/>
    <cellStyle name="Финансовый 2 2 6 6 2" xfId="17819"/>
    <cellStyle name="Финансовый 2 2 6 6 2 2" xfId="17820"/>
    <cellStyle name="Финансовый 2 2 6 6 2 2 2" xfId="17821"/>
    <cellStyle name="Финансовый 2 2 6 6 2 2 3" xfId="17822"/>
    <cellStyle name="Финансовый 2 2 6 6 2 3" xfId="17823"/>
    <cellStyle name="Финансовый 2 2 6 6 2 4" xfId="17824"/>
    <cellStyle name="Финансовый 2 2 6 6 2 5" xfId="17825"/>
    <cellStyle name="Финансовый 2 2 6 6 3" xfId="17826"/>
    <cellStyle name="Финансовый 2 2 6 6 3 2" xfId="17827"/>
    <cellStyle name="Финансовый 2 2 6 6 3 3" xfId="17828"/>
    <cellStyle name="Финансовый 2 2 6 6 4" xfId="17829"/>
    <cellStyle name="Финансовый 2 2 6 6 5" xfId="17830"/>
    <cellStyle name="Финансовый 2 2 6 6 6" xfId="17831"/>
    <cellStyle name="Финансовый 2 2 6 7" xfId="17832"/>
    <cellStyle name="Финансовый 2 2 6 7 2" xfId="17833"/>
    <cellStyle name="Финансовый 2 2 6 7 2 2" xfId="17834"/>
    <cellStyle name="Финансовый 2 2 6 7 2 3" xfId="17835"/>
    <cellStyle name="Финансовый 2 2 6 7 3" xfId="17836"/>
    <cellStyle name="Финансовый 2 2 6 7 4" xfId="17837"/>
    <cellStyle name="Финансовый 2 2 6 7 5" xfId="17838"/>
    <cellStyle name="Финансовый 2 2 6 8" xfId="17839"/>
    <cellStyle name="Финансовый 2 2 6 8 2" xfId="17840"/>
    <cellStyle name="Финансовый 2 2 6 8 3" xfId="17841"/>
    <cellStyle name="Финансовый 2 2 6 9" xfId="17842"/>
    <cellStyle name="Финансовый 2 2 7" xfId="17843"/>
    <cellStyle name="Финансовый 2 2 7 10" xfId="17844"/>
    <cellStyle name="Финансовый 2 2 7 2" xfId="17845"/>
    <cellStyle name="Финансовый 2 2 7 2 2" xfId="17846"/>
    <cellStyle name="Финансовый 2 2 7 2 2 2" xfId="17847"/>
    <cellStyle name="Финансовый 2 2 7 2 2 2 2" xfId="17848"/>
    <cellStyle name="Финансовый 2 2 7 2 2 2 3" xfId="17849"/>
    <cellStyle name="Финансовый 2 2 7 2 2 3" xfId="17850"/>
    <cellStyle name="Финансовый 2 2 7 2 2 4" xfId="17851"/>
    <cellStyle name="Финансовый 2 2 7 2 2 5" xfId="17852"/>
    <cellStyle name="Финансовый 2 2 7 2 3" xfId="17853"/>
    <cellStyle name="Финансовый 2 2 7 2 3 2" xfId="17854"/>
    <cellStyle name="Финансовый 2 2 7 2 3 3" xfId="17855"/>
    <cellStyle name="Финансовый 2 2 7 2 4" xfId="17856"/>
    <cellStyle name="Финансовый 2 2 7 2 5" xfId="17857"/>
    <cellStyle name="Финансовый 2 2 7 3" xfId="17858"/>
    <cellStyle name="Финансовый 2 2 7 3 2" xfId="17859"/>
    <cellStyle name="Финансовый 2 2 7 3 2 2" xfId="17860"/>
    <cellStyle name="Финансовый 2 2 7 3 2 2 2" xfId="17861"/>
    <cellStyle name="Финансовый 2 2 7 3 2 2 3" xfId="17862"/>
    <cellStyle name="Финансовый 2 2 7 3 2 3" xfId="17863"/>
    <cellStyle name="Финансовый 2 2 7 3 2 4" xfId="17864"/>
    <cellStyle name="Финансовый 2 2 7 3 3" xfId="17865"/>
    <cellStyle name="Финансовый 2 2 7 3 3 2" xfId="17866"/>
    <cellStyle name="Финансовый 2 2 7 3 3 3" xfId="17867"/>
    <cellStyle name="Финансовый 2 2 7 3 4" xfId="17868"/>
    <cellStyle name="Финансовый 2 2 7 3 5" xfId="17869"/>
    <cellStyle name="Финансовый 2 2 7 4" xfId="17870"/>
    <cellStyle name="Финансовый 2 2 7 4 2" xfId="17871"/>
    <cellStyle name="Финансовый 2 2 7 4 2 2" xfId="17872"/>
    <cellStyle name="Финансовый 2 2 7 4 2 2 2" xfId="17873"/>
    <cellStyle name="Финансовый 2 2 7 4 2 2 3" xfId="17874"/>
    <cellStyle name="Финансовый 2 2 7 4 2 3" xfId="17875"/>
    <cellStyle name="Финансовый 2 2 7 4 2 4" xfId="17876"/>
    <cellStyle name="Финансовый 2 2 7 4 2 5" xfId="17877"/>
    <cellStyle name="Финансовый 2 2 7 4 3" xfId="17878"/>
    <cellStyle name="Финансовый 2 2 7 4 3 2" xfId="17879"/>
    <cellStyle name="Финансовый 2 2 7 4 3 3" xfId="17880"/>
    <cellStyle name="Финансовый 2 2 7 4 4" xfId="17881"/>
    <cellStyle name="Финансовый 2 2 7 4 5" xfId="17882"/>
    <cellStyle name="Финансовый 2 2 7 4 6" xfId="17883"/>
    <cellStyle name="Финансовый 2 2 7 5" xfId="17884"/>
    <cellStyle name="Финансовый 2 2 7 5 2" xfId="17885"/>
    <cellStyle name="Финансовый 2 2 7 5 2 2" xfId="17886"/>
    <cellStyle name="Финансовый 2 2 7 5 2 2 2" xfId="17887"/>
    <cellStyle name="Финансовый 2 2 7 5 2 2 3" xfId="17888"/>
    <cellStyle name="Финансовый 2 2 7 5 2 3" xfId="17889"/>
    <cellStyle name="Финансовый 2 2 7 5 2 4" xfId="17890"/>
    <cellStyle name="Финансовый 2 2 7 5 2 5" xfId="17891"/>
    <cellStyle name="Финансовый 2 2 7 5 3" xfId="17892"/>
    <cellStyle name="Финансовый 2 2 7 5 3 2" xfId="17893"/>
    <cellStyle name="Финансовый 2 2 7 5 3 3" xfId="17894"/>
    <cellStyle name="Финансовый 2 2 7 5 4" xfId="17895"/>
    <cellStyle name="Финансовый 2 2 7 5 5" xfId="17896"/>
    <cellStyle name="Финансовый 2 2 7 5 6" xfId="17897"/>
    <cellStyle name="Финансовый 2 2 7 6" xfId="17898"/>
    <cellStyle name="Финансовый 2 2 7 6 2" xfId="17899"/>
    <cellStyle name="Финансовый 2 2 7 6 2 2" xfId="17900"/>
    <cellStyle name="Финансовый 2 2 7 6 2 2 2" xfId="17901"/>
    <cellStyle name="Финансовый 2 2 7 6 2 2 3" xfId="17902"/>
    <cellStyle name="Финансовый 2 2 7 6 2 3" xfId="17903"/>
    <cellStyle name="Финансовый 2 2 7 6 2 4" xfId="17904"/>
    <cellStyle name="Финансовый 2 2 7 6 2 5" xfId="17905"/>
    <cellStyle name="Финансовый 2 2 7 6 3" xfId="17906"/>
    <cellStyle name="Финансовый 2 2 7 6 3 2" xfId="17907"/>
    <cellStyle name="Финансовый 2 2 7 6 3 3" xfId="17908"/>
    <cellStyle name="Финансовый 2 2 7 6 4" xfId="17909"/>
    <cellStyle name="Финансовый 2 2 7 6 5" xfId="17910"/>
    <cellStyle name="Финансовый 2 2 7 6 6" xfId="17911"/>
    <cellStyle name="Финансовый 2 2 7 7" xfId="17912"/>
    <cellStyle name="Финансовый 2 2 7 7 2" xfId="17913"/>
    <cellStyle name="Финансовый 2 2 7 7 2 2" xfId="17914"/>
    <cellStyle name="Финансовый 2 2 7 7 2 3" xfId="17915"/>
    <cellStyle name="Финансовый 2 2 7 7 3" xfId="17916"/>
    <cellStyle name="Финансовый 2 2 7 7 4" xfId="17917"/>
    <cellStyle name="Финансовый 2 2 7 7 5" xfId="17918"/>
    <cellStyle name="Финансовый 2 2 7 8" xfId="17919"/>
    <cellStyle name="Финансовый 2 2 7 8 2" xfId="17920"/>
    <cellStyle name="Финансовый 2 2 7 8 3" xfId="17921"/>
    <cellStyle name="Финансовый 2 2 7 9" xfId="17922"/>
    <cellStyle name="Финансовый 2 2 8" xfId="17923"/>
    <cellStyle name="Финансовый 2 2 9" xfId="17924"/>
    <cellStyle name="Финансовый 2 2 9 2" xfId="17925"/>
    <cellStyle name="Финансовый 2 2 9 3" xfId="17926"/>
    <cellStyle name="Финансовый 2 2_Расчет стоимости III очереди под ключ" xfId="17927"/>
    <cellStyle name="Финансовый 2 3" xfId="17928"/>
    <cellStyle name="Финансовый 2 3 2" xfId="17929"/>
    <cellStyle name="Финансовый 2 4" xfId="17930"/>
    <cellStyle name="Финансовый 2 4 2" xfId="17931"/>
    <cellStyle name="Финансовый 2 5" xfId="17932"/>
    <cellStyle name="Финансовый 2 6" xfId="17933"/>
    <cellStyle name="Финансовый 2 7" xfId="17934"/>
    <cellStyle name="Финансовый 2 8" xfId="17935"/>
    <cellStyle name="Финансовый 2 9" xfId="17936"/>
    <cellStyle name="Финансовый 2_290 Снижение КП ПРОММОНОЛИТ Кудрово 7" xfId="17937"/>
    <cellStyle name="Финансовый 20" xfId="17938"/>
    <cellStyle name="Финансовый 20 10" xfId="17939"/>
    <cellStyle name="Финансовый 20 11" xfId="17940"/>
    <cellStyle name="Финансовый 20 2" xfId="17941"/>
    <cellStyle name="Финансовый 20 2 2" xfId="17942"/>
    <cellStyle name="Финансовый 20 2 2 2" xfId="17943"/>
    <cellStyle name="Финансовый 20 2 2 2 2" xfId="17944"/>
    <cellStyle name="Финансовый 20 2 2 2 3" xfId="17945"/>
    <cellStyle name="Финансовый 20 2 2 3" xfId="17946"/>
    <cellStyle name="Финансовый 20 2 2 4" xfId="17947"/>
    <cellStyle name="Финансовый 20 2 2 5" xfId="17948"/>
    <cellStyle name="Финансовый 20 2 3" xfId="17949"/>
    <cellStyle name="Финансовый 20 2 3 2" xfId="17950"/>
    <cellStyle name="Финансовый 20 2 3 3" xfId="17951"/>
    <cellStyle name="Финансовый 20 2 4" xfId="17952"/>
    <cellStyle name="Финансовый 20 2 5" xfId="17953"/>
    <cellStyle name="Финансовый 20 2 6" xfId="17954"/>
    <cellStyle name="Финансовый 20 3" xfId="17955"/>
    <cellStyle name="Финансовый 20 3 2" xfId="17956"/>
    <cellStyle name="Финансовый 20 3 2 2" xfId="17957"/>
    <cellStyle name="Финансовый 20 3 2 2 2" xfId="17958"/>
    <cellStyle name="Финансовый 20 3 2 2 3" xfId="17959"/>
    <cellStyle name="Финансовый 20 3 2 3" xfId="17960"/>
    <cellStyle name="Финансовый 20 3 2 4" xfId="17961"/>
    <cellStyle name="Финансовый 20 3 2 5" xfId="17962"/>
    <cellStyle name="Финансовый 20 3 3" xfId="17963"/>
    <cellStyle name="Финансовый 20 3 3 2" xfId="17964"/>
    <cellStyle name="Финансовый 20 3 3 3" xfId="17965"/>
    <cellStyle name="Финансовый 20 3 4" xfId="17966"/>
    <cellStyle name="Финансовый 20 3 5" xfId="17967"/>
    <cellStyle name="Финансовый 20 3 6" xfId="17968"/>
    <cellStyle name="Финансовый 20 4" xfId="17969"/>
    <cellStyle name="Финансовый 20 4 2" xfId="17970"/>
    <cellStyle name="Финансовый 20 4 2 2" xfId="17971"/>
    <cellStyle name="Финансовый 20 4 2 2 2" xfId="17972"/>
    <cellStyle name="Финансовый 20 4 2 2 3" xfId="17973"/>
    <cellStyle name="Финансовый 20 4 2 3" xfId="17974"/>
    <cellStyle name="Финансовый 20 4 2 4" xfId="17975"/>
    <cellStyle name="Финансовый 20 4 2 5" xfId="17976"/>
    <cellStyle name="Финансовый 20 4 3" xfId="17977"/>
    <cellStyle name="Финансовый 20 4 3 2" xfId="17978"/>
    <cellStyle name="Финансовый 20 4 3 3" xfId="17979"/>
    <cellStyle name="Финансовый 20 4 4" xfId="17980"/>
    <cellStyle name="Финансовый 20 4 5" xfId="17981"/>
    <cellStyle name="Финансовый 20 4 6" xfId="17982"/>
    <cellStyle name="Финансовый 20 5" xfId="17983"/>
    <cellStyle name="Финансовый 20 5 2" xfId="17984"/>
    <cellStyle name="Финансовый 20 5 2 2" xfId="17985"/>
    <cellStyle name="Финансовый 20 5 2 2 2" xfId="17986"/>
    <cellStyle name="Финансовый 20 5 2 2 3" xfId="17987"/>
    <cellStyle name="Финансовый 20 5 2 3" xfId="17988"/>
    <cellStyle name="Финансовый 20 5 2 4" xfId="17989"/>
    <cellStyle name="Финансовый 20 5 2 5" xfId="17990"/>
    <cellStyle name="Финансовый 20 5 3" xfId="17991"/>
    <cellStyle name="Финансовый 20 5 3 2" xfId="17992"/>
    <cellStyle name="Финансовый 20 5 3 3" xfId="17993"/>
    <cellStyle name="Финансовый 20 5 4" xfId="17994"/>
    <cellStyle name="Финансовый 20 5 5" xfId="17995"/>
    <cellStyle name="Финансовый 20 5 6" xfId="17996"/>
    <cellStyle name="Финансовый 20 6" xfId="17997"/>
    <cellStyle name="Финансовый 20 6 2" xfId="17998"/>
    <cellStyle name="Финансовый 20 6 2 2" xfId="17999"/>
    <cellStyle name="Финансовый 20 6 2 2 2" xfId="18000"/>
    <cellStyle name="Финансовый 20 6 2 2 3" xfId="18001"/>
    <cellStyle name="Финансовый 20 6 2 3" xfId="18002"/>
    <cellStyle name="Финансовый 20 6 2 4" xfId="18003"/>
    <cellStyle name="Финансовый 20 6 2 5" xfId="18004"/>
    <cellStyle name="Финансовый 20 6 3" xfId="18005"/>
    <cellStyle name="Финансовый 20 6 3 2" xfId="18006"/>
    <cellStyle name="Финансовый 20 6 3 3" xfId="18007"/>
    <cellStyle name="Финансовый 20 6 4" xfId="18008"/>
    <cellStyle name="Финансовый 20 6 5" xfId="18009"/>
    <cellStyle name="Финансовый 20 6 6" xfId="18010"/>
    <cellStyle name="Финансовый 20 7" xfId="18011"/>
    <cellStyle name="Финансовый 20 7 2" xfId="18012"/>
    <cellStyle name="Финансовый 20 7 2 2" xfId="18013"/>
    <cellStyle name="Финансовый 20 7 2 3" xfId="18014"/>
    <cellStyle name="Финансовый 20 7 3" xfId="18015"/>
    <cellStyle name="Финансовый 20 7 4" xfId="18016"/>
    <cellStyle name="Финансовый 20 7 5" xfId="18017"/>
    <cellStyle name="Финансовый 20 8" xfId="18018"/>
    <cellStyle name="Финансовый 20 8 2" xfId="18019"/>
    <cellStyle name="Финансовый 20 8 3" xfId="18020"/>
    <cellStyle name="Финансовый 20 9" xfId="18021"/>
    <cellStyle name="Финансовый 21" xfId="18022"/>
    <cellStyle name="Финансовый 21 10" xfId="18023"/>
    <cellStyle name="Финансовый 21 11" xfId="18024"/>
    <cellStyle name="Финансовый 21 12" xfId="18025"/>
    <cellStyle name="Финансовый 21 2" xfId="18026"/>
    <cellStyle name="Финансовый 21 2 2" xfId="18027"/>
    <cellStyle name="Финансовый 21 2 2 2" xfId="18028"/>
    <cellStyle name="Финансовый 21 2 2 2 2" xfId="18029"/>
    <cellStyle name="Финансовый 21 2 2 2 2 2" xfId="18030"/>
    <cellStyle name="Финансовый 21 2 2 2 2 3" xfId="18031"/>
    <cellStyle name="Финансовый 21 2 2 2 3" xfId="18032"/>
    <cellStyle name="Финансовый 21 2 2 2 4" xfId="18033"/>
    <cellStyle name="Финансовый 21 2 2 2 5" xfId="18034"/>
    <cellStyle name="Финансовый 21 2 2 3" xfId="18035"/>
    <cellStyle name="Финансовый 21 2 2 3 2" xfId="18036"/>
    <cellStyle name="Финансовый 21 2 2 3 3" xfId="18037"/>
    <cellStyle name="Финансовый 21 2 2 4" xfId="18038"/>
    <cellStyle name="Финансовый 21 2 2 5" xfId="18039"/>
    <cellStyle name="Финансовый 21 2 2 6" xfId="18040"/>
    <cellStyle name="Финансовый 21 2 3" xfId="18041"/>
    <cellStyle name="Финансовый 21 2 3 2" xfId="18042"/>
    <cellStyle name="Финансовый 21 2 3 2 2" xfId="18043"/>
    <cellStyle name="Финансовый 21 2 3 2 3" xfId="18044"/>
    <cellStyle name="Финансовый 21 2 3 3" xfId="18045"/>
    <cellStyle name="Финансовый 21 2 3 4" xfId="18046"/>
    <cellStyle name="Финансовый 21 2 3 5" xfId="18047"/>
    <cellStyle name="Финансовый 21 2 4" xfId="18048"/>
    <cellStyle name="Финансовый 21 2 4 2" xfId="18049"/>
    <cellStyle name="Финансовый 21 2 4 3" xfId="18050"/>
    <cellStyle name="Финансовый 21 2 5" xfId="18051"/>
    <cellStyle name="Финансовый 21 2 6" xfId="18052"/>
    <cellStyle name="Финансовый 21 2 7" xfId="18053"/>
    <cellStyle name="Финансовый 21 3" xfId="18054"/>
    <cellStyle name="Финансовый 21 3 2" xfId="18055"/>
    <cellStyle name="Финансовый 21 3 2 2" xfId="18056"/>
    <cellStyle name="Финансовый 21 3 2 2 2" xfId="18057"/>
    <cellStyle name="Финансовый 21 3 2 2 3" xfId="18058"/>
    <cellStyle name="Финансовый 21 3 2 3" xfId="18059"/>
    <cellStyle name="Финансовый 21 3 2 4" xfId="18060"/>
    <cellStyle name="Финансовый 21 3 2 5" xfId="18061"/>
    <cellStyle name="Финансовый 21 3 3" xfId="18062"/>
    <cellStyle name="Финансовый 21 3 3 2" xfId="18063"/>
    <cellStyle name="Финансовый 21 3 3 3" xfId="18064"/>
    <cellStyle name="Финансовый 21 3 4" xfId="18065"/>
    <cellStyle name="Финансовый 21 3 5" xfId="18066"/>
    <cellStyle name="Финансовый 21 3 6" xfId="18067"/>
    <cellStyle name="Финансовый 21 4" xfId="18068"/>
    <cellStyle name="Финансовый 21 4 2" xfId="18069"/>
    <cellStyle name="Финансовый 21 4 2 2" xfId="18070"/>
    <cellStyle name="Финансовый 21 4 2 2 2" xfId="18071"/>
    <cellStyle name="Финансовый 21 4 2 2 3" xfId="18072"/>
    <cellStyle name="Финансовый 21 4 2 3" xfId="18073"/>
    <cellStyle name="Финансовый 21 4 2 4" xfId="18074"/>
    <cellStyle name="Финансовый 21 4 2 5" xfId="18075"/>
    <cellStyle name="Финансовый 21 4 3" xfId="18076"/>
    <cellStyle name="Финансовый 21 4 3 2" xfId="18077"/>
    <cellStyle name="Финансовый 21 4 3 3" xfId="18078"/>
    <cellStyle name="Финансовый 21 4 4" xfId="18079"/>
    <cellStyle name="Финансовый 21 4 5" xfId="18080"/>
    <cellStyle name="Финансовый 21 4 6" xfId="18081"/>
    <cellStyle name="Финансовый 21 5" xfId="18082"/>
    <cellStyle name="Финансовый 21 5 2" xfId="18083"/>
    <cellStyle name="Финансовый 21 5 2 2" xfId="18084"/>
    <cellStyle name="Финансовый 21 5 2 2 2" xfId="18085"/>
    <cellStyle name="Финансовый 21 5 2 2 3" xfId="18086"/>
    <cellStyle name="Финансовый 21 5 2 3" xfId="18087"/>
    <cellStyle name="Финансовый 21 5 2 4" xfId="18088"/>
    <cellStyle name="Финансовый 21 5 2 5" xfId="18089"/>
    <cellStyle name="Финансовый 21 5 3" xfId="18090"/>
    <cellStyle name="Финансовый 21 5 3 2" xfId="18091"/>
    <cellStyle name="Финансовый 21 5 3 3" xfId="18092"/>
    <cellStyle name="Финансовый 21 5 4" xfId="18093"/>
    <cellStyle name="Финансовый 21 5 5" xfId="18094"/>
    <cellStyle name="Финансовый 21 5 6" xfId="18095"/>
    <cellStyle name="Финансовый 21 6" xfId="18096"/>
    <cellStyle name="Финансовый 21 6 2" xfId="18097"/>
    <cellStyle name="Финансовый 21 6 2 2" xfId="18098"/>
    <cellStyle name="Финансовый 21 6 2 2 2" xfId="18099"/>
    <cellStyle name="Финансовый 21 6 2 2 3" xfId="18100"/>
    <cellStyle name="Финансовый 21 6 2 3" xfId="18101"/>
    <cellStyle name="Финансовый 21 6 2 4" xfId="18102"/>
    <cellStyle name="Финансовый 21 6 2 5" xfId="18103"/>
    <cellStyle name="Финансовый 21 6 3" xfId="18104"/>
    <cellStyle name="Финансовый 21 6 3 2" xfId="18105"/>
    <cellStyle name="Финансовый 21 6 3 3" xfId="18106"/>
    <cellStyle name="Финансовый 21 6 4" xfId="18107"/>
    <cellStyle name="Финансовый 21 6 5" xfId="18108"/>
    <cellStyle name="Финансовый 21 6 6" xfId="18109"/>
    <cellStyle name="Финансовый 21 7" xfId="18110"/>
    <cellStyle name="Финансовый 21 7 2" xfId="18111"/>
    <cellStyle name="Финансовый 21 7 2 2" xfId="18112"/>
    <cellStyle name="Финансовый 21 7 2 2 2" xfId="18113"/>
    <cellStyle name="Финансовый 21 7 2 2 3" xfId="18114"/>
    <cellStyle name="Финансовый 21 7 2 3" xfId="18115"/>
    <cellStyle name="Финансовый 21 7 2 4" xfId="18116"/>
    <cellStyle name="Финансовый 21 7 2 5" xfId="18117"/>
    <cellStyle name="Финансовый 21 7 3" xfId="18118"/>
    <cellStyle name="Финансовый 21 7 3 2" xfId="18119"/>
    <cellStyle name="Финансовый 21 7 3 3" xfId="18120"/>
    <cellStyle name="Финансовый 21 7 4" xfId="18121"/>
    <cellStyle name="Финансовый 21 7 5" xfId="18122"/>
    <cellStyle name="Финансовый 21 7 6" xfId="18123"/>
    <cellStyle name="Финансовый 21 8" xfId="18124"/>
    <cellStyle name="Финансовый 21 8 2" xfId="18125"/>
    <cellStyle name="Финансовый 21 8 2 2" xfId="18126"/>
    <cellStyle name="Финансовый 21 8 2 3" xfId="18127"/>
    <cellStyle name="Финансовый 21 8 3" xfId="18128"/>
    <cellStyle name="Финансовый 21 8 4" xfId="18129"/>
    <cellStyle name="Финансовый 21 8 5" xfId="18130"/>
    <cellStyle name="Финансовый 21 9" xfId="18131"/>
    <cellStyle name="Финансовый 21 9 2" xfId="18132"/>
    <cellStyle name="Финансовый 21 9 3" xfId="18133"/>
    <cellStyle name="Финансовый 22" xfId="18134"/>
    <cellStyle name="Финансовый 22 2" xfId="18135"/>
    <cellStyle name="Финансовый 22 2 2" xfId="18136"/>
    <cellStyle name="Финансовый 22 2 2 2" xfId="18137"/>
    <cellStyle name="Финансовый 22 2 2 2 2" xfId="18138"/>
    <cellStyle name="Финансовый 22 2 2 2 3" xfId="18139"/>
    <cellStyle name="Финансовый 22 2 2 3" xfId="18140"/>
    <cellStyle name="Финансовый 22 2 2 4" xfId="18141"/>
    <cellStyle name="Финансовый 22 2 2 5" xfId="18142"/>
    <cellStyle name="Финансовый 22 2 3" xfId="18143"/>
    <cellStyle name="Финансовый 22 2 3 2" xfId="18144"/>
    <cellStyle name="Финансовый 22 2 3 3" xfId="18145"/>
    <cellStyle name="Финансовый 22 2 4" xfId="18146"/>
    <cellStyle name="Финансовый 22 2 5" xfId="18147"/>
    <cellStyle name="Финансовый 22 2 6" xfId="18148"/>
    <cellStyle name="Финансовый 22 3" xfId="18149"/>
    <cellStyle name="Финансовый 22 3 2" xfId="18150"/>
    <cellStyle name="Финансовый 22 3 2 2" xfId="18151"/>
    <cellStyle name="Финансовый 22 3 2 2 2" xfId="18152"/>
    <cellStyle name="Финансовый 22 3 2 2 3" xfId="18153"/>
    <cellStyle name="Финансовый 22 3 2 3" xfId="18154"/>
    <cellStyle name="Финансовый 22 3 2 4" xfId="18155"/>
    <cellStyle name="Финансовый 22 3 2 5" xfId="18156"/>
    <cellStyle name="Финансовый 22 3 3" xfId="18157"/>
    <cellStyle name="Финансовый 22 3 3 2" xfId="18158"/>
    <cellStyle name="Финансовый 22 3 3 3" xfId="18159"/>
    <cellStyle name="Финансовый 22 3 4" xfId="18160"/>
    <cellStyle name="Финансовый 22 3 5" xfId="18161"/>
    <cellStyle name="Финансовый 22 3 6" xfId="18162"/>
    <cellStyle name="Финансовый 22 4" xfId="18163"/>
    <cellStyle name="Финансовый 22 4 2" xfId="18164"/>
    <cellStyle name="Финансовый 22 4 2 2" xfId="18165"/>
    <cellStyle name="Финансовый 22 4 2 3" xfId="18166"/>
    <cellStyle name="Финансовый 22 4 3" xfId="18167"/>
    <cellStyle name="Финансовый 22 4 4" xfId="18168"/>
    <cellStyle name="Финансовый 22 4 5" xfId="18169"/>
    <cellStyle name="Финансовый 22 5" xfId="18170"/>
    <cellStyle name="Финансовый 22 5 2" xfId="18171"/>
    <cellStyle name="Финансовый 22 5 3" xfId="18172"/>
    <cellStyle name="Финансовый 22 6" xfId="18173"/>
    <cellStyle name="Финансовый 22 6 2" xfId="19886"/>
    <cellStyle name="Финансовый 23" xfId="18174"/>
    <cellStyle name="Финансовый 23 2" xfId="18175"/>
    <cellStyle name="Финансовый 23 2 2" xfId="18176"/>
    <cellStyle name="Финансовый 23 2 2 2" xfId="18177"/>
    <cellStyle name="Финансовый 23 2 2 2 2" xfId="18178"/>
    <cellStyle name="Финансовый 23 2 2 2 3" xfId="18179"/>
    <cellStyle name="Финансовый 23 2 2 3" xfId="18180"/>
    <cellStyle name="Финансовый 23 2 2 4" xfId="18181"/>
    <cellStyle name="Финансовый 23 2 2 5" xfId="18182"/>
    <cellStyle name="Финансовый 23 2 3" xfId="18183"/>
    <cellStyle name="Финансовый 23 2 3 2" xfId="18184"/>
    <cellStyle name="Финансовый 23 2 3 3" xfId="18185"/>
    <cellStyle name="Финансовый 23 2 4" xfId="18186"/>
    <cellStyle name="Финансовый 23 2 5" xfId="18187"/>
    <cellStyle name="Финансовый 23 2 6" xfId="18188"/>
    <cellStyle name="Финансовый 23 3" xfId="18189"/>
    <cellStyle name="Финансовый 23 3 2" xfId="18190"/>
    <cellStyle name="Финансовый 23 3 2 2" xfId="18191"/>
    <cellStyle name="Финансовый 23 3 2 2 2" xfId="18192"/>
    <cellStyle name="Финансовый 23 3 2 2 3" xfId="18193"/>
    <cellStyle name="Финансовый 23 3 2 3" xfId="18194"/>
    <cellStyle name="Финансовый 23 3 2 4" xfId="18195"/>
    <cellStyle name="Финансовый 23 3 2 5" xfId="18196"/>
    <cellStyle name="Финансовый 23 3 3" xfId="18197"/>
    <cellStyle name="Финансовый 23 3 3 2" xfId="18198"/>
    <cellStyle name="Финансовый 23 3 3 3" xfId="18199"/>
    <cellStyle name="Финансовый 23 3 4" xfId="18200"/>
    <cellStyle name="Финансовый 23 3 5" xfId="18201"/>
    <cellStyle name="Финансовый 23 3 6" xfId="18202"/>
    <cellStyle name="Финансовый 23 4" xfId="18203"/>
    <cellStyle name="Финансовый 23 4 2" xfId="18204"/>
    <cellStyle name="Финансовый 23 4 2 2" xfId="18205"/>
    <cellStyle name="Финансовый 23 4 2 3" xfId="18206"/>
    <cellStyle name="Финансовый 23 4 3" xfId="18207"/>
    <cellStyle name="Финансовый 23 4 4" xfId="18208"/>
    <cellStyle name="Финансовый 23 4 5" xfId="18209"/>
    <cellStyle name="Финансовый 23 5" xfId="18210"/>
    <cellStyle name="Финансовый 23 5 2" xfId="18211"/>
    <cellStyle name="Финансовый 23 5 3" xfId="18212"/>
    <cellStyle name="Финансовый 23 6" xfId="18213"/>
    <cellStyle name="Финансовый 23 6 2" xfId="19887"/>
    <cellStyle name="Финансовый 24" xfId="18214"/>
    <cellStyle name="Финансовый 24 2" xfId="18215"/>
    <cellStyle name="Финансовый 24 3" xfId="18216"/>
    <cellStyle name="Финансовый 24 4" xfId="18217"/>
    <cellStyle name="Финансовый 25" xfId="18218"/>
    <cellStyle name="Финансовый 25 2" xfId="18219"/>
    <cellStyle name="Финансовый 25 2 2" xfId="18220"/>
    <cellStyle name="Финансовый 25 2 2 2" xfId="18221"/>
    <cellStyle name="Финансовый 25 2 2 3" xfId="18222"/>
    <cellStyle name="Финансовый 25 2 3" xfId="18223"/>
    <cellStyle name="Финансовый 25 2 4" xfId="18224"/>
    <cellStyle name="Финансовый 25 2 5" xfId="18225"/>
    <cellStyle name="Финансовый 25 3" xfId="18226"/>
    <cellStyle name="Финансовый 25 3 2" xfId="18227"/>
    <cellStyle name="Финансовый 25 3 3" xfId="18228"/>
    <cellStyle name="Финансовый 25 4" xfId="18229"/>
    <cellStyle name="Финансовый 25 5" xfId="18230"/>
    <cellStyle name="Финансовый 25 6" xfId="18231"/>
    <cellStyle name="Финансовый 26" xfId="18232"/>
    <cellStyle name="Финансовый 26 2" xfId="18233"/>
    <cellStyle name="Финансовый 26 2 2" xfId="18234"/>
    <cellStyle name="Финансовый 26 2 2 2" xfId="18235"/>
    <cellStyle name="Финансовый 26 2 2 2 2" xfId="18236"/>
    <cellStyle name="Финансовый 26 2 2 2 3" xfId="18237"/>
    <cellStyle name="Финансовый 26 2 2 3" xfId="18238"/>
    <cellStyle name="Финансовый 26 2 2 4" xfId="18239"/>
    <cellStyle name="Финансовый 26 2 2 5" xfId="18240"/>
    <cellStyle name="Финансовый 26 2 3" xfId="18241"/>
    <cellStyle name="Финансовый 26 2 3 2" xfId="18242"/>
    <cellStyle name="Финансовый 26 2 3 3" xfId="18243"/>
    <cellStyle name="Финансовый 26 2 4" xfId="18244"/>
    <cellStyle name="Финансовый 26 2 5" xfId="18245"/>
    <cellStyle name="Финансовый 26 2 6" xfId="18246"/>
    <cellStyle name="Финансовый 26 3" xfId="18247"/>
    <cellStyle name="Финансовый 26 3 2" xfId="18248"/>
    <cellStyle name="Финансовый 26 3 2 2" xfId="18249"/>
    <cellStyle name="Финансовый 26 3 2 3" xfId="18250"/>
    <cellStyle name="Финансовый 26 3 3" xfId="18251"/>
    <cellStyle name="Финансовый 26 3 4" xfId="18252"/>
    <cellStyle name="Финансовый 26 3 5" xfId="18253"/>
    <cellStyle name="Финансовый 26 4" xfId="18254"/>
    <cellStyle name="Финансовый 26 4 2" xfId="18255"/>
    <cellStyle name="Финансовый 26 4 3" xfId="18256"/>
    <cellStyle name="Финансовый 26 5" xfId="18257"/>
    <cellStyle name="Финансовый 26 6" xfId="18258"/>
    <cellStyle name="Финансовый 26 7" xfId="18259"/>
    <cellStyle name="Финансовый 27" xfId="18260"/>
    <cellStyle name="Финансовый 27 2" xfId="18261"/>
    <cellStyle name="Финансовый 27 2 2" xfId="18262"/>
    <cellStyle name="Финансовый 27 2 2 2" xfId="18263"/>
    <cellStyle name="Финансовый 27 2 2 3" xfId="18264"/>
    <cellStyle name="Финансовый 27 2 3" xfId="18265"/>
    <cellStyle name="Финансовый 27 2 4" xfId="18266"/>
    <cellStyle name="Финансовый 27 2 5" xfId="18267"/>
    <cellStyle name="Финансовый 27 3" xfId="18268"/>
    <cellStyle name="Финансовый 27 3 2" xfId="18269"/>
    <cellStyle name="Финансовый 27 3 2 2" xfId="18270"/>
    <cellStyle name="Финансовый 27 3 2 3" xfId="18271"/>
    <cellStyle name="Финансовый 27 3 3" xfId="18272"/>
    <cellStyle name="Финансовый 27 3 4" xfId="18273"/>
    <cellStyle name="Финансовый 27 3 5" xfId="18274"/>
    <cellStyle name="Финансовый 27 4" xfId="18275"/>
    <cellStyle name="Финансовый 27 4 2" xfId="18276"/>
    <cellStyle name="Финансовый 27 4 3" xfId="18277"/>
    <cellStyle name="Финансовый 27 5" xfId="18278"/>
    <cellStyle name="Финансовый 27 6" xfId="18279"/>
    <cellStyle name="Финансовый 27 7" xfId="18280"/>
    <cellStyle name="Финансовый 28" xfId="18281"/>
    <cellStyle name="Финансовый 28 2" xfId="18282"/>
    <cellStyle name="Финансовый 28 2 2" xfId="18283"/>
    <cellStyle name="Финансовый 28 2 2 2" xfId="18284"/>
    <cellStyle name="Финансовый 28 2 2 3" xfId="18285"/>
    <cellStyle name="Финансовый 28 2 3" xfId="18286"/>
    <cellStyle name="Финансовый 28 2 4" xfId="18287"/>
    <cellStyle name="Финансовый 28 2 5" xfId="18288"/>
    <cellStyle name="Финансовый 28 3" xfId="18289"/>
    <cellStyle name="Финансовый 28 3 2" xfId="18290"/>
    <cellStyle name="Финансовый 28 3 3" xfId="18291"/>
    <cellStyle name="Финансовый 28 4" xfId="18292"/>
    <cellStyle name="Финансовый 29" xfId="18293"/>
    <cellStyle name="Финансовый 29 2" xfId="18294"/>
    <cellStyle name="Финансовый 29 3" xfId="18295"/>
    <cellStyle name="Финансовый 29 4" xfId="18296"/>
    <cellStyle name="Финансовый 3" xfId="18297"/>
    <cellStyle name="Финансовый 3 2" xfId="18298"/>
    <cellStyle name="Финансовый 3 2 2" xfId="18299"/>
    <cellStyle name="Финансовый 3 2 3" xfId="18300"/>
    <cellStyle name="Финансовый 3 3" xfId="18301"/>
    <cellStyle name="Финансовый 3 3 2" xfId="18302"/>
    <cellStyle name="Финансовый 3 3 3" xfId="18303"/>
    <cellStyle name="Финансовый 3 4" xfId="12"/>
    <cellStyle name="Финансовый 3 4 2" xfId="18304"/>
    <cellStyle name="Финансовый 3 5" xfId="18305"/>
    <cellStyle name="Финансовый 3 5 2" xfId="18306"/>
    <cellStyle name="Финансовый 3 5 2 2" xfId="18307"/>
    <cellStyle name="Финансовый 3 5 2 2 2" xfId="18308"/>
    <cellStyle name="Финансовый 3 5 2 2 2 2" xfId="18309"/>
    <cellStyle name="Финансовый 3 5 2 2 2 3" xfId="18310"/>
    <cellStyle name="Финансовый 3 5 2 2 3" xfId="18311"/>
    <cellStyle name="Финансовый 3 5 2 2 4" xfId="18312"/>
    <cellStyle name="Финансовый 3 5 2 2 5" xfId="18313"/>
    <cellStyle name="Финансовый 3 5 2 3" xfId="18314"/>
    <cellStyle name="Финансовый 3 5 2 3 2" xfId="18315"/>
    <cellStyle name="Финансовый 3 5 2 3 3" xfId="18316"/>
    <cellStyle name="Финансовый 3 5 2 4" xfId="18317"/>
    <cellStyle name="Финансовый 3 5 2 5" xfId="18318"/>
    <cellStyle name="Финансовый 3 5 2 6" xfId="18319"/>
    <cellStyle name="Финансовый 3 5 3" xfId="18320"/>
    <cellStyle name="Финансовый 3 5 3 2" xfId="18321"/>
    <cellStyle name="Финансовый 3 5 3 2 2" xfId="18322"/>
    <cellStyle name="Финансовый 3 5 3 2 3" xfId="18323"/>
    <cellStyle name="Финансовый 3 5 3 3" xfId="18324"/>
    <cellStyle name="Финансовый 3 5 3 4" xfId="18325"/>
    <cellStyle name="Финансовый 3 5 3 5" xfId="18326"/>
    <cellStyle name="Финансовый 3 5 4" xfId="18327"/>
    <cellStyle name="Финансовый 3 5 4 2" xfId="18328"/>
    <cellStyle name="Финансовый 3 5 4 3" xfId="18329"/>
    <cellStyle name="Финансовый 3 5 5" xfId="18330"/>
    <cellStyle name="Финансовый 3 5 6" xfId="18331"/>
    <cellStyle name="Финансовый 3 5 7" xfId="18332"/>
    <cellStyle name="Финансовый 3 6" xfId="18333"/>
    <cellStyle name="Финансовый 3 7" xfId="18334"/>
    <cellStyle name="Финансовый 3 8" xfId="18335"/>
    <cellStyle name="Финансовый 3 8 2" xfId="18336"/>
    <cellStyle name="Финансовый 30" xfId="18337"/>
    <cellStyle name="Финансовый 30 2" xfId="18338"/>
    <cellStyle name="Финансовый 30 2 2" xfId="18339"/>
    <cellStyle name="Финансовый 30 2 3" xfId="18340"/>
    <cellStyle name="Финансовый 31" xfId="18341"/>
    <cellStyle name="Финансовый 32" xfId="18342"/>
    <cellStyle name="Финансовый 33" xfId="18343"/>
    <cellStyle name="Финансовый 34" xfId="18344"/>
    <cellStyle name="Финансовый 35" xfId="18345"/>
    <cellStyle name="Финансовый 36" xfId="18346"/>
    <cellStyle name="Финансовый 36 2" xfId="18347"/>
    <cellStyle name="Финансовый 37" xfId="18348"/>
    <cellStyle name="Финансовый 37 2" xfId="18349"/>
    <cellStyle name="Финансовый 38" xfId="18350"/>
    <cellStyle name="Финансовый 38 2" xfId="18351"/>
    <cellStyle name="Финансовый 39" xfId="18352"/>
    <cellStyle name="Финансовый 39 2" xfId="18353"/>
    <cellStyle name="Финансовый 4" xfId="18354"/>
    <cellStyle name="Финансовый 4 10" xfId="18355"/>
    <cellStyle name="Финансовый 4 10 2" xfId="18356"/>
    <cellStyle name="Финансовый 4 10 2 2" xfId="18357"/>
    <cellStyle name="Финансовый 4 10 2 2 2" xfId="18358"/>
    <cellStyle name="Финансовый 4 10 2 2 3" xfId="18359"/>
    <cellStyle name="Финансовый 4 10 2 3" xfId="18360"/>
    <cellStyle name="Финансовый 4 10 2 4" xfId="18361"/>
    <cellStyle name="Финансовый 4 10 2 5" xfId="18362"/>
    <cellStyle name="Финансовый 4 10 3" xfId="18363"/>
    <cellStyle name="Финансовый 4 10 3 2" xfId="18364"/>
    <cellStyle name="Финансовый 4 10 3 3" xfId="18365"/>
    <cellStyle name="Финансовый 4 10 4" xfId="18366"/>
    <cellStyle name="Финансовый 4 10 5" xfId="18367"/>
    <cellStyle name="Финансовый 4 10 6" xfId="18368"/>
    <cellStyle name="Финансовый 4 11" xfId="18369"/>
    <cellStyle name="Финансовый 4 11 2" xfId="18370"/>
    <cellStyle name="Финансовый 4 11 2 2" xfId="18371"/>
    <cellStyle name="Финансовый 4 11 2 2 2" xfId="18372"/>
    <cellStyle name="Финансовый 4 11 2 2 3" xfId="18373"/>
    <cellStyle name="Финансовый 4 11 2 3" xfId="18374"/>
    <cellStyle name="Финансовый 4 11 2 4" xfId="18375"/>
    <cellStyle name="Финансовый 4 11 2 5" xfId="18376"/>
    <cellStyle name="Финансовый 4 11 3" xfId="18377"/>
    <cellStyle name="Финансовый 4 11 3 2" xfId="18378"/>
    <cellStyle name="Финансовый 4 11 3 3" xfId="18379"/>
    <cellStyle name="Финансовый 4 11 4" xfId="18380"/>
    <cellStyle name="Финансовый 4 11 5" xfId="18381"/>
    <cellStyle name="Финансовый 4 11 6" xfId="18382"/>
    <cellStyle name="Финансовый 4 12" xfId="18383"/>
    <cellStyle name="Финансовый 4 12 2" xfId="18384"/>
    <cellStyle name="Финансовый 4 12 2 2" xfId="18385"/>
    <cellStyle name="Финансовый 4 12 2 3" xfId="18386"/>
    <cellStyle name="Финансовый 4 12 3" xfId="18387"/>
    <cellStyle name="Финансовый 4 12 4" xfId="18388"/>
    <cellStyle name="Финансовый 4 12 5" xfId="18389"/>
    <cellStyle name="Финансовый 4 13" xfId="18390"/>
    <cellStyle name="Финансовый 4 14" xfId="18391"/>
    <cellStyle name="Финансовый 4 14 2" xfId="18392"/>
    <cellStyle name="Финансовый 4 14 3" xfId="18393"/>
    <cellStyle name="Финансовый 4 15" xfId="18394"/>
    <cellStyle name="Финансовый 4 16" xfId="18395"/>
    <cellStyle name="Финансовый 4 2" xfId="18396"/>
    <cellStyle name="Финансовый 4 2 10" xfId="18397"/>
    <cellStyle name="Финансовый 4 2 2" xfId="18398"/>
    <cellStyle name="Финансовый 4 2 3" xfId="18399"/>
    <cellStyle name="Финансовый 4 2 3 2" xfId="18400"/>
    <cellStyle name="Финансовый 4 2 3 3" xfId="18401"/>
    <cellStyle name="Финансовый 4 2 4" xfId="18402"/>
    <cellStyle name="Финансовый 4 2 4 2" xfId="18403"/>
    <cellStyle name="Финансовый 4 2 4 2 2" xfId="18404"/>
    <cellStyle name="Финансовый 4 2 4 2 2 2" xfId="18405"/>
    <cellStyle name="Финансовый 4 2 4 2 2 3" xfId="18406"/>
    <cellStyle name="Финансовый 4 2 4 2 3" xfId="18407"/>
    <cellStyle name="Финансовый 4 2 4 2 4" xfId="18408"/>
    <cellStyle name="Финансовый 4 2 4 2 5" xfId="18409"/>
    <cellStyle name="Финансовый 4 2 4 3" xfId="18410"/>
    <cellStyle name="Финансовый 4 2 4 3 2" xfId="18411"/>
    <cellStyle name="Финансовый 4 2 4 3 3" xfId="18412"/>
    <cellStyle name="Финансовый 4 2 4 4" xfId="18413"/>
    <cellStyle name="Финансовый 4 2 4 5" xfId="18414"/>
    <cellStyle name="Финансовый 4 2 4 6" xfId="18415"/>
    <cellStyle name="Финансовый 4 2 5" xfId="18416"/>
    <cellStyle name="Финансовый 4 2 5 2" xfId="18417"/>
    <cellStyle name="Финансовый 4 2 5 2 2" xfId="18418"/>
    <cellStyle name="Финансовый 4 2 5 2 2 2" xfId="18419"/>
    <cellStyle name="Финансовый 4 2 5 2 2 3" xfId="18420"/>
    <cellStyle name="Финансовый 4 2 5 2 3" xfId="18421"/>
    <cellStyle name="Финансовый 4 2 5 2 4" xfId="18422"/>
    <cellStyle name="Финансовый 4 2 5 2 5" xfId="18423"/>
    <cellStyle name="Финансовый 4 2 5 3" xfId="18424"/>
    <cellStyle name="Финансовый 4 2 5 3 2" xfId="18425"/>
    <cellStyle name="Финансовый 4 2 5 3 3" xfId="18426"/>
    <cellStyle name="Финансовый 4 2 5 4" xfId="18427"/>
    <cellStyle name="Финансовый 4 2 5 5" xfId="18428"/>
    <cellStyle name="Финансовый 4 2 5 6" xfId="18429"/>
    <cellStyle name="Финансовый 4 2 6" xfId="18430"/>
    <cellStyle name="Финансовый 4 2 6 2" xfId="18431"/>
    <cellStyle name="Финансовый 4 2 6 2 2" xfId="18432"/>
    <cellStyle name="Финансовый 4 2 6 2 2 2" xfId="18433"/>
    <cellStyle name="Финансовый 4 2 6 2 2 3" xfId="18434"/>
    <cellStyle name="Финансовый 4 2 6 2 3" xfId="18435"/>
    <cellStyle name="Финансовый 4 2 6 2 4" xfId="18436"/>
    <cellStyle name="Финансовый 4 2 6 2 5" xfId="18437"/>
    <cellStyle name="Финансовый 4 2 6 3" xfId="18438"/>
    <cellStyle name="Финансовый 4 2 6 3 2" xfId="18439"/>
    <cellStyle name="Финансовый 4 2 6 3 3" xfId="18440"/>
    <cellStyle name="Финансовый 4 2 6 4" xfId="18441"/>
    <cellStyle name="Финансовый 4 2 6 5" xfId="18442"/>
    <cellStyle name="Финансовый 4 2 6 6" xfId="18443"/>
    <cellStyle name="Финансовый 4 2 7" xfId="18444"/>
    <cellStyle name="Финансовый 4 2 7 2" xfId="18445"/>
    <cellStyle name="Финансовый 4 2 7 2 2" xfId="18446"/>
    <cellStyle name="Финансовый 4 2 7 2 3" xfId="18447"/>
    <cellStyle name="Финансовый 4 2 7 3" xfId="18448"/>
    <cellStyle name="Финансовый 4 2 7 4" xfId="18449"/>
    <cellStyle name="Финансовый 4 2 7 5" xfId="18450"/>
    <cellStyle name="Финансовый 4 2 8" xfId="18451"/>
    <cellStyle name="Финансовый 4 2 8 2" xfId="18452"/>
    <cellStyle name="Финансовый 4 2 8 3" xfId="18453"/>
    <cellStyle name="Финансовый 4 2 9" xfId="18454"/>
    <cellStyle name="Финансовый 4 3" xfId="18455"/>
    <cellStyle name="Финансовый 4 3 10" xfId="18456"/>
    <cellStyle name="Финансовый 4 3 2" xfId="18457"/>
    <cellStyle name="Финансовый 4 3 3" xfId="18458"/>
    <cellStyle name="Финансовый 4 3 3 2" xfId="18459"/>
    <cellStyle name="Финансовый 4 3 3 2 2" xfId="18460"/>
    <cellStyle name="Финансовый 4 3 3 2 2 2" xfId="18461"/>
    <cellStyle name="Финансовый 4 3 3 2 2 3" xfId="18462"/>
    <cellStyle name="Финансовый 4 3 3 2 3" xfId="18463"/>
    <cellStyle name="Финансовый 4 3 3 2 4" xfId="18464"/>
    <cellStyle name="Финансовый 4 3 3 3" xfId="18465"/>
    <cellStyle name="Финансовый 4 3 3 3 2" xfId="18466"/>
    <cellStyle name="Финансовый 4 3 3 3 3" xfId="18467"/>
    <cellStyle name="Финансовый 4 3 3 4" xfId="18468"/>
    <cellStyle name="Финансовый 4 3 3 5" xfId="18469"/>
    <cellStyle name="Финансовый 4 3 4" xfId="18470"/>
    <cellStyle name="Финансовый 4 3 4 2" xfId="18471"/>
    <cellStyle name="Финансовый 4 3 4 2 2" xfId="18472"/>
    <cellStyle name="Финансовый 4 3 4 2 2 2" xfId="18473"/>
    <cellStyle name="Финансовый 4 3 4 2 2 3" xfId="18474"/>
    <cellStyle name="Финансовый 4 3 4 2 3" xfId="18475"/>
    <cellStyle name="Финансовый 4 3 4 2 4" xfId="18476"/>
    <cellStyle name="Финансовый 4 3 4 2 5" xfId="18477"/>
    <cellStyle name="Финансовый 4 3 4 3" xfId="18478"/>
    <cellStyle name="Финансовый 4 3 4 3 2" xfId="18479"/>
    <cellStyle name="Финансовый 4 3 4 3 3" xfId="18480"/>
    <cellStyle name="Финансовый 4 3 4 4" xfId="18481"/>
    <cellStyle name="Финансовый 4 3 4 5" xfId="18482"/>
    <cellStyle name="Финансовый 4 3 4 6" xfId="18483"/>
    <cellStyle name="Финансовый 4 3 5" xfId="18484"/>
    <cellStyle name="Финансовый 4 3 5 2" xfId="18485"/>
    <cellStyle name="Финансовый 4 3 5 2 2" xfId="18486"/>
    <cellStyle name="Финансовый 4 3 5 2 2 2" xfId="18487"/>
    <cellStyle name="Финансовый 4 3 5 2 2 3" xfId="18488"/>
    <cellStyle name="Финансовый 4 3 5 2 3" xfId="18489"/>
    <cellStyle name="Финансовый 4 3 5 2 4" xfId="18490"/>
    <cellStyle name="Финансовый 4 3 5 2 5" xfId="18491"/>
    <cellStyle name="Финансовый 4 3 5 3" xfId="18492"/>
    <cellStyle name="Финансовый 4 3 5 3 2" xfId="18493"/>
    <cellStyle name="Финансовый 4 3 5 3 3" xfId="18494"/>
    <cellStyle name="Финансовый 4 3 5 4" xfId="18495"/>
    <cellStyle name="Финансовый 4 3 5 5" xfId="18496"/>
    <cellStyle name="Финансовый 4 3 5 6" xfId="18497"/>
    <cellStyle name="Финансовый 4 3 6" xfId="18498"/>
    <cellStyle name="Финансовый 4 3 6 2" xfId="18499"/>
    <cellStyle name="Финансовый 4 3 6 2 2" xfId="18500"/>
    <cellStyle name="Финансовый 4 3 6 2 2 2" xfId="18501"/>
    <cellStyle name="Финансовый 4 3 6 2 2 3" xfId="18502"/>
    <cellStyle name="Финансовый 4 3 6 2 3" xfId="18503"/>
    <cellStyle name="Финансовый 4 3 6 2 4" xfId="18504"/>
    <cellStyle name="Финансовый 4 3 6 2 5" xfId="18505"/>
    <cellStyle name="Финансовый 4 3 6 3" xfId="18506"/>
    <cellStyle name="Финансовый 4 3 6 3 2" xfId="18507"/>
    <cellStyle name="Финансовый 4 3 6 3 3" xfId="18508"/>
    <cellStyle name="Финансовый 4 3 6 4" xfId="18509"/>
    <cellStyle name="Финансовый 4 3 6 5" xfId="18510"/>
    <cellStyle name="Финансовый 4 3 6 6" xfId="18511"/>
    <cellStyle name="Финансовый 4 3 7" xfId="18512"/>
    <cellStyle name="Финансовый 4 3 7 2" xfId="18513"/>
    <cellStyle name="Финансовый 4 3 7 2 2" xfId="18514"/>
    <cellStyle name="Финансовый 4 3 7 2 3" xfId="18515"/>
    <cellStyle name="Финансовый 4 3 7 3" xfId="18516"/>
    <cellStyle name="Финансовый 4 3 7 4" xfId="18517"/>
    <cellStyle name="Финансовый 4 3 7 5" xfId="18518"/>
    <cellStyle name="Финансовый 4 3 8" xfId="18519"/>
    <cellStyle name="Финансовый 4 3 8 2" xfId="18520"/>
    <cellStyle name="Финансовый 4 3 8 3" xfId="18521"/>
    <cellStyle name="Финансовый 4 3 9" xfId="18522"/>
    <cellStyle name="Финансовый 4 4" xfId="18523"/>
    <cellStyle name="Финансовый 4 4 10" xfId="18524"/>
    <cellStyle name="Финансовый 4 4 2" xfId="18525"/>
    <cellStyle name="Финансовый 4 4 3" xfId="18526"/>
    <cellStyle name="Финансовый 4 4 3 2" xfId="18527"/>
    <cellStyle name="Финансовый 4 4 3 2 2" xfId="18528"/>
    <cellStyle name="Финансовый 4 4 3 2 2 2" xfId="18529"/>
    <cellStyle name="Финансовый 4 4 3 2 2 3" xfId="18530"/>
    <cellStyle name="Финансовый 4 4 3 2 3" xfId="18531"/>
    <cellStyle name="Финансовый 4 4 3 2 4" xfId="18532"/>
    <cellStyle name="Финансовый 4 4 3 3" xfId="18533"/>
    <cellStyle name="Финансовый 4 4 3 3 2" xfId="18534"/>
    <cellStyle name="Финансовый 4 4 3 3 3" xfId="18535"/>
    <cellStyle name="Финансовый 4 4 3 4" xfId="18536"/>
    <cellStyle name="Финансовый 4 4 3 5" xfId="18537"/>
    <cellStyle name="Финансовый 4 4 4" xfId="18538"/>
    <cellStyle name="Финансовый 4 4 4 2" xfId="18539"/>
    <cellStyle name="Финансовый 4 4 4 2 2" xfId="18540"/>
    <cellStyle name="Финансовый 4 4 4 2 2 2" xfId="18541"/>
    <cellStyle name="Финансовый 4 4 4 2 2 3" xfId="18542"/>
    <cellStyle name="Финансовый 4 4 4 2 3" xfId="18543"/>
    <cellStyle name="Финансовый 4 4 4 2 4" xfId="18544"/>
    <cellStyle name="Финансовый 4 4 4 2 5" xfId="18545"/>
    <cellStyle name="Финансовый 4 4 4 3" xfId="18546"/>
    <cellStyle name="Финансовый 4 4 4 3 2" xfId="18547"/>
    <cellStyle name="Финансовый 4 4 4 3 3" xfId="18548"/>
    <cellStyle name="Финансовый 4 4 4 4" xfId="18549"/>
    <cellStyle name="Финансовый 4 4 4 5" xfId="18550"/>
    <cellStyle name="Финансовый 4 4 4 6" xfId="18551"/>
    <cellStyle name="Финансовый 4 4 5" xfId="18552"/>
    <cellStyle name="Финансовый 4 4 5 2" xfId="18553"/>
    <cellStyle name="Финансовый 4 4 5 2 2" xfId="18554"/>
    <cellStyle name="Финансовый 4 4 5 2 2 2" xfId="18555"/>
    <cellStyle name="Финансовый 4 4 5 2 2 3" xfId="18556"/>
    <cellStyle name="Финансовый 4 4 5 2 3" xfId="18557"/>
    <cellStyle name="Финансовый 4 4 5 2 4" xfId="18558"/>
    <cellStyle name="Финансовый 4 4 5 2 5" xfId="18559"/>
    <cellStyle name="Финансовый 4 4 5 3" xfId="18560"/>
    <cellStyle name="Финансовый 4 4 5 3 2" xfId="18561"/>
    <cellStyle name="Финансовый 4 4 5 3 3" xfId="18562"/>
    <cellStyle name="Финансовый 4 4 5 4" xfId="18563"/>
    <cellStyle name="Финансовый 4 4 5 5" xfId="18564"/>
    <cellStyle name="Финансовый 4 4 5 6" xfId="18565"/>
    <cellStyle name="Финансовый 4 4 6" xfId="18566"/>
    <cellStyle name="Финансовый 4 4 6 2" xfId="18567"/>
    <cellStyle name="Финансовый 4 4 6 2 2" xfId="18568"/>
    <cellStyle name="Финансовый 4 4 6 2 2 2" xfId="18569"/>
    <cellStyle name="Финансовый 4 4 6 2 2 3" xfId="18570"/>
    <cellStyle name="Финансовый 4 4 6 2 3" xfId="18571"/>
    <cellStyle name="Финансовый 4 4 6 2 4" xfId="18572"/>
    <cellStyle name="Финансовый 4 4 6 2 5" xfId="18573"/>
    <cellStyle name="Финансовый 4 4 6 3" xfId="18574"/>
    <cellStyle name="Финансовый 4 4 6 3 2" xfId="18575"/>
    <cellStyle name="Финансовый 4 4 6 3 3" xfId="18576"/>
    <cellStyle name="Финансовый 4 4 6 4" xfId="18577"/>
    <cellStyle name="Финансовый 4 4 6 5" xfId="18578"/>
    <cellStyle name="Финансовый 4 4 6 6" xfId="18579"/>
    <cellStyle name="Финансовый 4 4 7" xfId="18580"/>
    <cellStyle name="Финансовый 4 4 7 2" xfId="18581"/>
    <cellStyle name="Финансовый 4 4 7 2 2" xfId="18582"/>
    <cellStyle name="Финансовый 4 4 7 2 3" xfId="18583"/>
    <cellStyle name="Финансовый 4 4 7 3" xfId="18584"/>
    <cellStyle name="Финансовый 4 4 7 4" xfId="18585"/>
    <cellStyle name="Финансовый 4 4 7 5" xfId="18586"/>
    <cellStyle name="Финансовый 4 4 8" xfId="18587"/>
    <cellStyle name="Финансовый 4 4 8 2" xfId="18588"/>
    <cellStyle name="Финансовый 4 4 8 3" xfId="18589"/>
    <cellStyle name="Финансовый 4 4 9" xfId="18590"/>
    <cellStyle name="Финансовый 4 5" xfId="18591"/>
    <cellStyle name="Финансовый 4 5 10" xfId="18592"/>
    <cellStyle name="Финансовый 4 5 2" xfId="18593"/>
    <cellStyle name="Финансовый 4 5 3" xfId="18594"/>
    <cellStyle name="Финансовый 4 5 3 2" xfId="18595"/>
    <cellStyle name="Финансовый 4 5 3 2 2" xfId="18596"/>
    <cellStyle name="Финансовый 4 5 3 2 2 2" xfId="18597"/>
    <cellStyle name="Финансовый 4 5 3 2 2 3" xfId="18598"/>
    <cellStyle name="Финансовый 4 5 3 2 3" xfId="18599"/>
    <cellStyle name="Финансовый 4 5 3 2 4" xfId="18600"/>
    <cellStyle name="Финансовый 4 5 3 3" xfId="18601"/>
    <cellStyle name="Финансовый 4 5 3 3 2" xfId="18602"/>
    <cellStyle name="Финансовый 4 5 3 3 3" xfId="18603"/>
    <cellStyle name="Финансовый 4 5 3 4" xfId="18604"/>
    <cellStyle name="Финансовый 4 5 3 5" xfId="18605"/>
    <cellStyle name="Финансовый 4 5 4" xfId="18606"/>
    <cellStyle name="Финансовый 4 5 4 2" xfId="18607"/>
    <cellStyle name="Финансовый 4 5 4 2 2" xfId="18608"/>
    <cellStyle name="Финансовый 4 5 4 2 2 2" xfId="18609"/>
    <cellStyle name="Финансовый 4 5 4 2 2 3" xfId="18610"/>
    <cellStyle name="Финансовый 4 5 4 2 3" xfId="18611"/>
    <cellStyle name="Финансовый 4 5 4 2 4" xfId="18612"/>
    <cellStyle name="Финансовый 4 5 4 2 5" xfId="18613"/>
    <cellStyle name="Финансовый 4 5 4 3" xfId="18614"/>
    <cellStyle name="Финансовый 4 5 4 3 2" xfId="18615"/>
    <cellStyle name="Финансовый 4 5 4 3 3" xfId="18616"/>
    <cellStyle name="Финансовый 4 5 4 4" xfId="18617"/>
    <cellStyle name="Финансовый 4 5 4 5" xfId="18618"/>
    <cellStyle name="Финансовый 4 5 4 6" xfId="18619"/>
    <cellStyle name="Финансовый 4 5 5" xfId="18620"/>
    <cellStyle name="Финансовый 4 5 5 2" xfId="18621"/>
    <cellStyle name="Финансовый 4 5 5 2 2" xfId="18622"/>
    <cellStyle name="Финансовый 4 5 5 2 2 2" xfId="18623"/>
    <cellStyle name="Финансовый 4 5 5 2 2 3" xfId="18624"/>
    <cellStyle name="Финансовый 4 5 5 2 3" xfId="18625"/>
    <cellStyle name="Финансовый 4 5 5 2 4" xfId="18626"/>
    <cellStyle name="Финансовый 4 5 5 2 5" xfId="18627"/>
    <cellStyle name="Финансовый 4 5 5 3" xfId="18628"/>
    <cellStyle name="Финансовый 4 5 5 3 2" xfId="18629"/>
    <cellStyle name="Финансовый 4 5 5 3 3" xfId="18630"/>
    <cellStyle name="Финансовый 4 5 5 4" xfId="18631"/>
    <cellStyle name="Финансовый 4 5 5 5" xfId="18632"/>
    <cellStyle name="Финансовый 4 5 5 6" xfId="18633"/>
    <cellStyle name="Финансовый 4 5 6" xfId="18634"/>
    <cellStyle name="Финансовый 4 5 6 2" xfId="18635"/>
    <cellStyle name="Финансовый 4 5 6 2 2" xfId="18636"/>
    <cellStyle name="Финансовый 4 5 6 2 2 2" xfId="18637"/>
    <cellStyle name="Финансовый 4 5 6 2 2 3" xfId="18638"/>
    <cellStyle name="Финансовый 4 5 6 2 3" xfId="18639"/>
    <cellStyle name="Финансовый 4 5 6 2 4" xfId="18640"/>
    <cellStyle name="Финансовый 4 5 6 2 5" xfId="18641"/>
    <cellStyle name="Финансовый 4 5 6 3" xfId="18642"/>
    <cellStyle name="Финансовый 4 5 6 3 2" xfId="18643"/>
    <cellStyle name="Финансовый 4 5 6 3 3" xfId="18644"/>
    <cellStyle name="Финансовый 4 5 6 4" xfId="18645"/>
    <cellStyle name="Финансовый 4 5 6 5" xfId="18646"/>
    <cellStyle name="Финансовый 4 5 6 6" xfId="18647"/>
    <cellStyle name="Финансовый 4 5 7" xfId="18648"/>
    <cellStyle name="Финансовый 4 5 7 2" xfId="18649"/>
    <cellStyle name="Финансовый 4 5 7 2 2" xfId="18650"/>
    <cellStyle name="Финансовый 4 5 7 2 3" xfId="18651"/>
    <cellStyle name="Финансовый 4 5 7 3" xfId="18652"/>
    <cellStyle name="Финансовый 4 5 7 4" xfId="18653"/>
    <cellStyle name="Финансовый 4 5 7 5" xfId="18654"/>
    <cellStyle name="Финансовый 4 5 8" xfId="18655"/>
    <cellStyle name="Финансовый 4 5 8 2" xfId="18656"/>
    <cellStyle name="Финансовый 4 5 8 3" xfId="18657"/>
    <cellStyle name="Финансовый 4 5 9" xfId="18658"/>
    <cellStyle name="Финансовый 4 6" xfId="18659"/>
    <cellStyle name="Финансовый 4 6 2" xfId="18660"/>
    <cellStyle name="Финансовый 4 6 3" xfId="18661"/>
    <cellStyle name="Финансовый 4 7" xfId="18662"/>
    <cellStyle name="Финансовый 4 7 2" xfId="18663"/>
    <cellStyle name="Финансовый 4 7 3" xfId="18664"/>
    <cellStyle name="Финансовый 4 8" xfId="18665"/>
    <cellStyle name="Финансовый 4 8 2" xfId="18666"/>
    <cellStyle name="Финансовый 4 8 2 2" xfId="18667"/>
    <cellStyle name="Финансовый 4 8 2 2 2" xfId="18668"/>
    <cellStyle name="Финансовый 4 8 2 2 3" xfId="18669"/>
    <cellStyle name="Финансовый 4 8 2 3" xfId="18670"/>
    <cellStyle name="Финансовый 4 8 2 4" xfId="18671"/>
    <cellStyle name="Финансовый 4 8 2 5" xfId="18672"/>
    <cellStyle name="Финансовый 4 8 3" xfId="18673"/>
    <cellStyle name="Финансовый 4 8 3 2" xfId="18674"/>
    <cellStyle name="Финансовый 4 8 3 3" xfId="18675"/>
    <cellStyle name="Финансовый 4 8 4" xfId="18676"/>
    <cellStyle name="Финансовый 4 8 5" xfId="18677"/>
    <cellStyle name="Финансовый 4 8 6" xfId="18678"/>
    <cellStyle name="Финансовый 4 9" xfId="18679"/>
    <cellStyle name="Финансовый 4 9 2" xfId="18680"/>
    <cellStyle name="Финансовый 4 9 2 2" xfId="18681"/>
    <cellStyle name="Финансовый 4 9 2 2 2" xfId="18682"/>
    <cellStyle name="Финансовый 4 9 2 2 3" xfId="18683"/>
    <cellStyle name="Финансовый 4 9 2 3" xfId="18684"/>
    <cellStyle name="Финансовый 4 9 2 4" xfId="18685"/>
    <cellStyle name="Финансовый 4 9 2 5" xfId="18686"/>
    <cellStyle name="Финансовый 4 9 3" xfId="18687"/>
    <cellStyle name="Финансовый 4 9 3 2" xfId="18688"/>
    <cellStyle name="Финансовый 4 9 3 3" xfId="18689"/>
    <cellStyle name="Финансовый 4 9 4" xfId="18690"/>
    <cellStyle name="Финансовый 4 9 5" xfId="18691"/>
    <cellStyle name="Финансовый 4 9 6" xfId="18692"/>
    <cellStyle name="Финансовый 40" xfId="18693"/>
    <cellStyle name="Финансовый 41" xfId="18694"/>
    <cellStyle name="Финансовый 41 2" xfId="18695"/>
    <cellStyle name="Финансовый 41 2 2" xfId="18696"/>
    <cellStyle name="Финансовый 41 2 2 2" xfId="18697"/>
    <cellStyle name="Финансовый 41 2 2 3" xfId="18698"/>
    <cellStyle name="Финансовый 41 2 3" xfId="18699"/>
    <cellStyle name="Финансовый 41 2 4" xfId="18700"/>
    <cellStyle name="Финансовый 41 2 5" xfId="18701"/>
    <cellStyle name="Финансовый 41 3" xfId="18702"/>
    <cellStyle name="Финансовый 41 3 2" xfId="18703"/>
    <cellStyle name="Финансовый 41 3 3" xfId="18704"/>
    <cellStyle name="Финансовый 41 4" xfId="18705"/>
    <cellStyle name="Финансовый 41 5" xfId="18706"/>
    <cellStyle name="Финансовый 41 6" xfId="18707"/>
    <cellStyle name="Финансовый 42" xfId="18708"/>
    <cellStyle name="Финансовый 42 2" xfId="18709"/>
    <cellStyle name="Финансовый 42 2 2" xfId="18710"/>
    <cellStyle name="Финансовый 42 2 2 2" xfId="18711"/>
    <cellStyle name="Финансовый 42 2 2 2 2" xfId="18712"/>
    <cellStyle name="Финансовый 42 2 2 2 3" xfId="18713"/>
    <cellStyle name="Финансовый 42 2 2 3" xfId="18714"/>
    <cellStyle name="Финансовый 42 2 2 4" xfId="18715"/>
    <cellStyle name="Финансовый 42 2 2 5" xfId="18716"/>
    <cellStyle name="Финансовый 42 2 3" xfId="18717"/>
    <cellStyle name="Финансовый 42 2 3 2" xfId="18718"/>
    <cellStyle name="Финансовый 42 2 3 3" xfId="18719"/>
    <cellStyle name="Финансовый 42 2 4" xfId="18720"/>
    <cellStyle name="Финансовый 42 2 5" xfId="18721"/>
    <cellStyle name="Финансовый 42 2 6" xfId="18722"/>
    <cellStyle name="Финансовый 42 3" xfId="18723"/>
    <cellStyle name="Финансовый 42 3 2" xfId="18724"/>
    <cellStyle name="Финансовый 42 3 2 2" xfId="18725"/>
    <cellStyle name="Финансовый 42 3 2 3" xfId="18726"/>
    <cellStyle name="Финансовый 42 3 3" xfId="18727"/>
    <cellStyle name="Финансовый 42 3 4" xfId="18728"/>
    <cellStyle name="Финансовый 42 3 5" xfId="18729"/>
    <cellStyle name="Финансовый 42 4" xfId="18730"/>
    <cellStyle name="Финансовый 42 4 2" xfId="18731"/>
    <cellStyle name="Финансовый 42 4 3" xfId="18732"/>
    <cellStyle name="Финансовый 42 5" xfId="18733"/>
    <cellStyle name="Финансовый 42 6" xfId="18734"/>
    <cellStyle name="Финансовый 42 7" xfId="18735"/>
    <cellStyle name="Финансовый 43" xfId="18736"/>
    <cellStyle name="Финансовый 43 2" xfId="18737"/>
    <cellStyle name="Финансовый 43 2 2" xfId="18738"/>
    <cellStyle name="Финансовый 43 2 2 2" xfId="18739"/>
    <cellStyle name="Финансовый 43 2 2 3" xfId="18740"/>
    <cellStyle name="Финансовый 43 2 3" xfId="18741"/>
    <cellStyle name="Финансовый 43 2 4" xfId="18742"/>
    <cellStyle name="Финансовый 43 2 5" xfId="18743"/>
    <cellStyle name="Финансовый 43 3" xfId="18744"/>
    <cellStyle name="Финансовый 43 3 2" xfId="18745"/>
    <cellStyle name="Финансовый 43 3 2 2" xfId="18746"/>
    <cellStyle name="Финансовый 43 3 2 3" xfId="18747"/>
    <cellStyle name="Финансовый 43 3 3" xfId="18748"/>
    <cellStyle name="Финансовый 43 3 4" xfId="18749"/>
    <cellStyle name="Финансовый 43 3 5" xfId="18750"/>
    <cellStyle name="Финансовый 43 4" xfId="18751"/>
    <cellStyle name="Финансовый 43 4 2" xfId="18752"/>
    <cellStyle name="Финансовый 43 4 3" xfId="18753"/>
    <cellStyle name="Финансовый 43 5" xfId="18754"/>
    <cellStyle name="Финансовый 43 6" xfId="18755"/>
    <cellStyle name="Финансовый 43 7" xfId="18756"/>
    <cellStyle name="Финансовый 44" xfId="18757"/>
    <cellStyle name="Финансовый 44 2" xfId="18758"/>
    <cellStyle name="Финансовый 44 3" xfId="18759"/>
    <cellStyle name="Финансовый 45" xfId="18760"/>
    <cellStyle name="Финансовый 46" xfId="18761"/>
    <cellStyle name="Финансовый 47" xfId="18762"/>
    <cellStyle name="Финансовый 48" xfId="18763"/>
    <cellStyle name="Финансовый 49" xfId="18764"/>
    <cellStyle name="Финансовый 49 2" xfId="18765"/>
    <cellStyle name="Финансовый 49 2 2" xfId="18766"/>
    <cellStyle name="Финансовый 49 2 3" xfId="18767"/>
    <cellStyle name="Финансовый 49 3" xfId="18768"/>
    <cellStyle name="Финансовый 49 4" xfId="18769"/>
    <cellStyle name="Финансовый 5" xfId="18770"/>
    <cellStyle name="Финансовый 5 2" xfId="18771"/>
    <cellStyle name="Финансовый 5 2 2" xfId="18772"/>
    <cellStyle name="Финансовый 5 2 3" xfId="18773"/>
    <cellStyle name="Финансовый 5 2 4" xfId="18774"/>
    <cellStyle name="Финансовый 5 3" xfId="18775"/>
    <cellStyle name="Финансовый 5 3 2" xfId="18776"/>
    <cellStyle name="Финансовый 5 3 3" xfId="18777"/>
    <cellStyle name="Финансовый 5 4" xfId="18778"/>
    <cellStyle name="Финансовый 5 5" xfId="18779"/>
    <cellStyle name="Финансовый 50" xfId="18780"/>
    <cellStyle name="Финансовый 50 2" xfId="18781"/>
    <cellStyle name="Финансовый 50 2 2" xfId="18782"/>
    <cellStyle name="Финансовый 50 2 3" xfId="18783"/>
    <cellStyle name="Финансовый 50 3" xfId="18784"/>
    <cellStyle name="Финансовый 50 4" xfId="18785"/>
    <cellStyle name="Финансовый 50 5" xfId="18786"/>
    <cellStyle name="Финансовый 51" xfId="18787"/>
    <cellStyle name="Финансовый 51 2" xfId="18788"/>
    <cellStyle name="Финансовый 51 2 2" xfId="18789"/>
    <cellStyle name="Финансовый 51 2 2 2" xfId="18790"/>
    <cellStyle name="Финансовый 51 2 2 2 2" xfId="18791"/>
    <cellStyle name="Финансовый 51 2 2 2 3" xfId="18792"/>
    <cellStyle name="Финансовый 51 2 2 3" xfId="18793"/>
    <cellStyle name="Финансовый 51 2 2 4" xfId="18794"/>
    <cellStyle name="Финансовый 51 2 3" xfId="18795"/>
    <cellStyle name="Финансовый 51 2 3 2" xfId="18796"/>
    <cellStyle name="Финансовый 51 2 3 3" xfId="18797"/>
    <cellStyle name="Финансовый 51 2 4" xfId="18798"/>
    <cellStyle name="Финансовый 51 2 5" xfId="18799"/>
    <cellStyle name="Финансовый 51 3" xfId="18800"/>
    <cellStyle name="Финансовый 51 3 2" xfId="18801"/>
    <cellStyle name="Финансовый 51 3 3" xfId="18802"/>
    <cellStyle name="Финансовый 51 4" xfId="18803"/>
    <cellStyle name="Финансовый 51 5" xfId="18804"/>
    <cellStyle name="Финансовый 52" xfId="18805"/>
    <cellStyle name="Финансовый 52 2" xfId="18806"/>
    <cellStyle name="Финансовый 52 2 2" xfId="19942"/>
    <cellStyle name="Финансовый 52 3" xfId="18807"/>
    <cellStyle name="Финансовый 52 4" xfId="18808"/>
    <cellStyle name="Финансовый 53" xfId="18809"/>
    <cellStyle name="Финансовый 53 2" xfId="18810"/>
    <cellStyle name="Финансовый 53 2 2" xfId="18811"/>
    <cellStyle name="Финансовый 53 2 3" xfId="18812"/>
    <cellStyle name="Финансовый 53 3" xfId="18813"/>
    <cellStyle name="Финансовый 53 4" xfId="18814"/>
    <cellStyle name="Финансовый 54" xfId="18815"/>
    <cellStyle name="Финансовый 54 2" xfId="18816"/>
    <cellStyle name="Финансовый 54 2 2" xfId="18817"/>
    <cellStyle name="Финансовый 54 2 3" xfId="18818"/>
    <cellStyle name="Финансовый 54 3" xfId="18819"/>
    <cellStyle name="Финансовый 54 4" xfId="18820"/>
    <cellStyle name="Финансовый 54 4 2" xfId="19943"/>
    <cellStyle name="Финансовый 54 5" xfId="18821"/>
    <cellStyle name="Финансовый 54 5 2" xfId="19944"/>
    <cellStyle name="Финансовый 55" xfId="18822"/>
    <cellStyle name="Финансовый 55 2" xfId="18823"/>
    <cellStyle name="Финансовый 56" xfId="18824"/>
    <cellStyle name="Финансовый 57" xfId="18825"/>
    <cellStyle name="Финансовый 57 2" xfId="18826"/>
    <cellStyle name="Финансовый 57 3" xfId="18827"/>
    <cellStyle name="Финансовый 58" xfId="18828"/>
    <cellStyle name="Финансовый 58 2" xfId="18829"/>
    <cellStyle name="Финансовый 59" xfId="18830"/>
    <cellStyle name="Финансовый 6" xfId="18831"/>
    <cellStyle name="Финансовый 6 2" xfId="11"/>
    <cellStyle name="Финансовый 6 2 2" xfId="18833"/>
    <cellStyle name="Финансовый 6 2 3" xfId="18834"/>
    <cellStyle name="Финансовый 6 2 4" xfId="18832"/>
    <cellStyle name="Финансовый 6 3" xfId="18835"/>
    <cellStyle name="Финансовый 60" xfId="18836"/>
    <cellStyle name="Финансовый 61" xfId="18837"/>
    <cellStyle name="Финансовый 62" xfId="18838"/>
    <cellStyle name="Финансовый 63" xfId="18839"/>
    <cellStyle name="Финансовый 64" xfId="18840"/>
    <cellStyle name="Финансовый 65" xfId="18841"/>
    <cellStyle name="Финансовый 66" xfId="18842"/>
    <cellStyle name="Финансовый 67" xfId="18843"/>
    <cellStyle name="Финансовый 68" xfId="18844"/>
    <cellStyle name="Финансовый 69" xfId="18845"/>
    <cellStyle name="Финансовый 7" xfId="18846"/>
    <cellStyle name="Финансовый 7 10" xfId="18847"/>
    <cellStyle name="Финансовый 7 10 2" xfId="18848"/>
    <cellStyle name="Финансовый 7 10 2 2" xfId="18849"/>
    <cellStyle name="Финансовый 7 10 2 3" xfId="18850"/>
    <cellStyle name="Финансовый 7 10 3" xfId="18851"/>
    <cellStyle name="Финансовый 7 10 4" xfId="18852"/>
    <cellStyle name="Финансовый 7 10 5" xfId="18853"/>
    <cellStyle name="Финансовый 7 11" xfId="18854"/>
    <cellStyle name="Финансовый 7 11 2" xfId="18855"/>
    <cellStyle name="Финансовый 7 11 3" xfId="18856"/>
    <cellStyle name="Финансовый 7 12" xfId="18857"/>
    <cellStyle name="Финансовый 7 13" xfId="18858"/>
    <cellStyle name="Финансовый 7 2" xfId="18859"/>
    <cellStyle name="Финансовый 7 2 10" xfId="18860"/>
    <cellStyle name="Финансовый 7 2 2" xfId="18861"/>
    <cellStyle name="Финансовый 7 2 3" xfId="18862"/>
    <cellStyle name="Финансовый 7 2 3 2" xfId="18863"/>
    <cellStyle name="Финансовый 7 2 3 2 2" xfId="18864"/>
    <cellStyle name="Финансовый 7 2 3 2 2 2" xfId="18865"/>
    <cellStyle name="Финансовый 7 2 3 2 2 3" xfId="18866"/>
    <cellStyle name="Финансовый 7 2 3 2 3" xfId="18867"/>
    <cellStyle name="Финансовый 7 2 3 2 4" xfId="18868"/>
    <cellStyle name="Финансовый 7 2 3 3" xfId="18869"/>
    <cellStyle name="Финансовый 7 2 3 3 2" xfId="18870"/>
    <cellStyle name="Финансовый 7 2 3 3 3" xfId="18871"/>
    <cellStyle name="Финансовый 7 2 3 4" xfId="18872"/>
    <cellStyle name="Финансовый 7 2 3 5" xfId="18873"/>
    <cellStyle name="Финансовый 7 2 4" xfId="18874"/>
    <cellStyle name="Финансовый 7 2 4 2" xfId="18875"/>
    <cellStyle name="Финансовый 7 2 4 2 2" xfId="18876"/>
    <cellStyle name="Финансовый 7 2 4 2 2 2" xfId="18877"/>
    <cellStyle name="Финансовый 7 2 4 2 2 3" xfId="18878"/>
    <cellStyle name="Финансовый 7 2 4 2 3" xfId="18879"/>
    <cellStyle name="Финансовый 7 2 4 2 4" xfId="18880"/>
    <cellStyle name="Финансовый 7 2 4 2 5" xfId="18881"/>
    <cellStyle name="Финансовый 7 2 4 3" xfId="18882"/>
    <cellStyle name="Финансовый 7 2 4 3 2" xfId="18883"/>
    <cellStyle name="Финансовый 7 2 4 3 3" xfId="18884"/>
    <cellStyle name="Финансовый 7 2 4 4" xfId="18885"/>
    <cellStyle name="Финансовый 7 2 4 5" xfId="18886"/>
    <cellStyle name="Финансовый 7 2 4 6" xfId="18887"/>
    <cellStyle name="Финансовый 7 2 5" xfId="18888"/>
    <cellStyle name="Финансовый 7 2 5 2" xfId="18889"/>
    <cellStyle name="Финансовый 7 2 5 2 2" xfId="18890"/>
    <cellStyle name="Финансовый 7 2 5 2 2 2" xfId="18891"/>
    <cellStyle name="Финансовый 7 2 5 2 2 3" xfId="18892"/>
    <cellStyle name="Финансовый 7 2 5 2 3" xfId="18893"/>
    <cellStyle name="Финансовый 7 2 5 2 4" xfId="18894"/>
    <cellStyle name="Финансовый 7 2 5 2 5" xfId="18895"/>
    <cellStyle name="Финансовый 7 2 5 3" xfId="18896"/>
    <cellStyle name="Финансовый 7 2 5 3 2" xfId="18897"/>
    <cellStyle name="Финансовый 7 2 5 3 3" xfId="18898"/>
    <cellStyle name="Финансовый 7 2 5 4" xfId="18899"/>
    <cellStyle name="Финансовый 7 2 5 5" xfId="18900"/>
    <cellStyle name="Финансовый 7 2 5 6" xfId="18901"/>
    <cellStyle name="Финансовый 7 2 6" xfId="18902"/>
    <cellStyle name="Финансовый 7 2 6 2" xfId="18903"/>
    <cellStyle name="Финансовый 7 2 6 2 2" xfId="18904"/>
    <cellStyle name="Финансовый 7 2 6 2 2 2" xfId="18905"/>
    <cellStyle name="Финансовый 7 2 6 2 2 3" xfId="18906"/>
    <cellStyle name="Финансовый 7 2 6 2 3" xfId="18907"/>
    <cellStyle name="Финансовый 7 2 6 2 4" xfId="18908"/>
    <cellStyle name="Финансовый 7 2 6 2 5" xfId="18909"/>
    <cellStyle name="Финансовый 7 2 6 3" xfId="18910"/>
    <cellStyle name="Финансовый 7 2 6 3 2" xfId="18911"/>
    <cellStyle name="Финансовый 7 2 6 3 3" xfId="18912"/>
    <cellStyle name="Финансовый 7 2 6 4" xfId="18913"/>
    <cellStyle name="Финансовый 7 2 6 5" xfId="18914"/>
    <cellStyle name="Финансовый 7 2 6 6" xfId="18915"/>
    <cellStyle name="Финансовый 7 2 7" xfId="18916"/>
    <cellStyle name="Финансовый 7 2 7 2" xfId="18917"/>
    <cellStyle name="Финансовый 7 2 7 2 2" xfId="18918"/>
    <cellStyle name="Финансовый 7 2 7 2 3" xfId="18919"/>
    <cellStyle name="Финансовый 7 2 7 3" xfId="18920"/>
    <cellStyle name="Финансовый 7 2 7 4" xfId="18921"/>
    <cellStyle name="Финансовый 7 2 7 5" xfId="18922"/>
    <cellStyle name="Финансовый 7 2 8" xfId="18923"/>
    <cellStyle name="Финансовый 7 2 8 2" xfId="18924"/>
    <cellStyle name="Финансовый 7 2 8 3" xfId="18925"/>
    <cellStyle name="Финансовый 7 2 9" xfId="18926"/>
    <cellStyle name="Финансовый 7 3" xfId="18927"/>
    <cellStyle name="Финансовый 7 3 10" xfId="18928"/>
    <cellStyle name="Финансовый 7 3 2" xfId="18929"/>
    <cellStyle name="Финансовый 7 3 3" xfId="18930"/>
    <cellStyle name="Финансовый 7 3 3 2" xfId="18931"/>
    <cellStyle name="Финансовый 7 3 3 2 2" xfId="18932"/>
    <cellStyle name="Финансовый 7 3 3 2 2 2" xfId="18933"/>
    <cellStyle name="Финансовый 7 3 3 2 2 3" xfId="18934"/>
    <cellStyle name="Финансовый 7 3 3 2 3" xfId="18935"/>
    <cellStyle name="Финансовый 7 3 3 2 4" xfId="18936"/>
    <cellStyle name="Финансовый 7 3 3 3" xfId="18937"/>
    <cellStyle name="Финансовый 7 3 3 3 2" xfId="18938"/>
    <cellStyle name="Финансовый 7 3 3 3 3" xfId="18939"/>
    <cellStyle name="Финансовый 7 3 3 4" xfId="18940"/>
    <cellStyle name="Финансовый 7 3 3 5" xfId="18941"/>
    <cellStyle name="Финансовый 7 3 4" xfId="18942"/>
    <cellStyle name="Финансовый 7 3 4 2" xfId="18943"/>
    <cellStyle name="Финансовый 7 3 4 2 2" xfId="18944"/>
    <cellStyle name="Финансовый 7 3 4 2 2 2" xfId="18945"/>
    <cellStyle name="Финансовый 7 3 4 2 2 3" xfId="18946"/>
    <cellStyle name="Финансовый 7 3 4 2 3" xfId="18947"/>
    <cellStyle name="Финансовый 7 3 4 2 4" xfId="18948"/>
    <cellStyle name="Финансовый 7 3 4 2 5" xfId="18949"/>
    <cellStyle name="Финансовый 7 3 4 3" xfId="18950"/>
    <cellStyle name="Финансовый 7 3 4 3 2" xfId="18951"/>
    <cellStyle name="Финансовый 7 3 4 3 3" xfId="18952"/>
    <cellStyle name="Финансовый 7 3 4 4" xfId="18953"/>
    <cellStyle name="Финансовый 7 3 4 5" xfId="18954"/>
    <cellStyle name="Финансовый 7 3 4 6" xfId="18955"/>
    <cellStyle name="Финансовый 7 3 5" xfId="18956"/>
    <cellStyle name="Финансовый 7 3 5 2" xfId="18957"/>
    <cellStyle name="Финансовый 7 3 5 2 2" xfId="18958"/>
    <cellStyle name="Финансовый 7 3 5 2 2 2" xfId="18959"/>
    <cellStyle name="Финансовый 7 3 5 2 2 3" xfId="18960"/>
    <cellStyle name="Финансовый 7 3 5 2 3" xfId="18961"/>
    <cellStyle name="Финансовый 7 3 5 2 4" xfId="18962"/>
    <cellStyle name="Финансовый 7 3 5 2 5" xfId="18963"/>
    <cellStyle name="Финансовый 7 3 5 3" xfId="18964"/>
    <cellStyle name="Финансовый 7 3 5 3 2" xfId="18965"/>
    <cellStyle name="Финансовый 7 3 5 3 3" xfId="18966"/>
    <cellStyle name="Финансовый 7 3 5 4" xfId="18967"/>
    <cellStyle name="Финансовый 7 3 5 5" xfId="18968"/>
    <cellStyle name="Финансовый 7 3 5 6" xfId="18969"/>
    <cellStyle name="Финансовый 7 3 6" xfId="18970"/>
    <cellStyle name="Финансовый 7 3 6 2" xfId="18971"/>
    <cellStyle name="Финансовый 7 3 6 2 2" xfId="18972"/>
    <cellStyle name="Финансовый 7 3 6 2 2 2" xfId="18973"/>
    <cellStyle name="Финансовый 7 3 6 2 2 3" xfId="18974"/>
    <cellStyle name="Финансовый 7 3 6 2 3" xfId="18975"/>
    <cellStyle name="Финансовый 7 3 6 2 4" xfId="18976"/>
    <cellStyle name="Финансовый 7 3 6 2 5" xfId="18977"/>
    <cellStyle name="Финансовый 7 3 6 3" xfId="18978"/>
    <cellStyle name="Финансовый 7 3 6 3 2" xfId="18979"/>
    <cellStyle name="Финансовый 7 3 6 3 3" xfId="18980"/>
    <cellStyle name="Финансовый 7 3 6 4" xfId="18981"/>
    <cellStyle name="Финансовый 7 3 6 5" xfId="18982"/>
    <cellStyle name="Финансовый 7 3 6 6" xfId="18983"/>
    <cellStyle name="Финансовый 7 3 7" xfId="18984"/>
    <cellStyle name="Финансовый 7 3 7 2" xfId="18985"/>
    <cellStyle name="Финансовый 7 3 7 2 2" xfId="18986"/>
    <cellStyle name="Финансовый 7 3 7 2 3" xfId="18987"/>
    <cellStyle name="Финансовый 7 3 7 3" xfId="18988"/>
    <cellStyle name="Финансовый 7 3 7 4" xfId="18989"/>
    <cellStyle name="Финансовый 7 3 7 5" xfId="18990"/>
    <cellStyle name="Финансовый 7 3 8" xfId="18991"/>
    <cellStyle name="Финансовый 7 3 8 2" xfId="18992"/>
    <cellStyle name="Финансовый 7 3 8 3" xfId="18993"/>
    <cellStyle name="Финансовый 7 3 9" xfId="18994"/>
    <cellStyle name="Финансовый 7 4" xfId="18995"/>
    <cellStyle name="Финансовый 7 4 10" xfId="18996"/>
    <cellStyle name="Финансовый 7 4 2" xfId="18997"/>
    <cellStyle name="Финансовый 7 4 2 2" xfId="18998"/>
    <cellStyle name="Финансовый 7 4 2 2 2" xfId="18999"/>
    <cellStyle name="Финансовый 7 4 2 2 2 2" xfId="19000"/>
    <cellStyle name="Финансовый 7 4 2 2 2 3" xfId="19001"/>
    <cellStyle name="Финансовый 7 4 2 2 3" xfId="19002"/>
    <cellStyle name="Финансовый 7 4 2 2 4" xfId="19003"/>
    <cellStyle name="Финансовый 7 4 2 2 5" xfId="19004"/>
    <cellStyle name="Финансовый 7 4 2 3" xfId="19005"/>
    <cellStyle name="Финансовый 7 4 2 3 2" xfId="19006"/>
    <cellStyle name="Финансовый 7 4 2 3 3" xfId="19007"/>
    <cellStyle name="Финансовый 7 4 2 4" xfId="19008"/>
    <cellStyle name="Финансовый 7 4 2 5" xfId="19009"/>
    <cellStyle name="Финансовый 7 4 3" xfId="19010"/>
    <cellStyle name="Финансовый 7 4 3 2" xfId="19011"/>
    <cellStyle name="Финансовый 7 4 3 2 2" xfId="19012"/>
    <cellStyle name="Финансовый 7 4 3 2 2 2" xfId="19013"/>
    <cellStyle name="Финансовый 7 4 3 2 2 3" xfId="19014"/>
    <cellStyle name="Финансовый 7 4 3 2 3" xfId="19015"/>
    <cellStyle name="Финансовый 7 4 3 2 4" xfId="19016"/>
    <cellStyle name="Финансовый 7 4 3 3" xfId="19017"/>
    <cellStyle name="Финансовый 7 4 3 3 2" xfId="19018"/>
    <cellStyle name="Финансовый 7 4 3 3 3" xfId="19019"/>
    <cellStyle name="Финансовый 7 4 3 4" xfId="19020"/>
    <cellStyle name="Финансовый 7 4 3 5" xfId="19021"/>
    <cellStyle name="Финансовый 7 4 4" xfId="19022"/>
    <cellStyle name="Финансовый 7 4 4 2" xfId="19023"/>
    <cellStyle name="Финансовый 7 4 4 2 2" xfId="19024"/>
    <cellStyle name="Финансовый 7 4 4 2 2 2" xfId="19025"/>
    <cellStyle name="Финансовый 7 4 4 2 2 3" xfId="19026"/>
    <cellStyle name="Финансовый 7 4 4 2 3" xfId="19027"/>
    <cellStyle name="Финансовый 7 4 4 2 4" xfId="19028"/>
    <cellStyle name="Финансовый 7 4 4 2 5" xfId="19029"/>
    <cellStyle name="Финансовый 7 4 4 3" xfId="19030"/>
    <cellStyle name="Финансовый 7 4 4 3 2" xfId="19031"/>
    <cellStyle name="Финансовый 7 4 4 3 3" xfId="19032"/>
    <cellStyle name="Финансовый 7 4 4 4" xfId="19033"/>
    <cellStyle name="Финансовый 7 4 4 5" xfId="19034"/>
    <cellStyle name="Финансовый 7 4 4 6" xfId="19035"/>
    <cellStyle name="Финансовый 7 4 5" xfId="19036"/>
    <cellStyle name="Финансовый 7 4 5 2" xfId="19037"/>
    <cellStyle name="Финансовый 7 4 5 2 2" xfId="19038"/>
    <cellStyle name="Финансовый 7 4 5 2 2 2" xfId="19039"/>
    <cellStyle name="Финансовый 7 4 5 2 2 3" xfId="19040"/>
    <cellStyle name="Финансовый 7 4 5 2 3" xfId="19041"/>
    <cellStyle name="Финансовый 7 4 5 2 4" xfId="19042"/>
    <cellStyle name="Финансовый 7 4 5 2 5" xfId="19043"/>
    <cellStyle name="Финансовый 7 4 5 3" xfId="19044"/>
    <cellStyle name="Финансовый 7 4 5 3 2" xfId="19045"/>
    <cellStyle name="Финансовый 7 4 5 3 3" xfId="19046"/>
    <cellStyle name="Финансовый 7 4 5 4" xfId="19047"/>
    <cellStyle name="Финансовый 7 4 5 5" xfId="19048"/>
    <cellStyle name="Финансовый 7 4 5 6" xfId="19049"/>
    <cellStyle name="Финансовый 7 4 6" xfId="19050"/>
    <cellStyle name="Финансовый 7 4 6 2" xfId="19051"/>
    <cellStyle name="Финансовый 7 4 6 2 2" xfId="19052"/>
    <cellStyle name="Финансовый 7 4 6 2 2 2" xfId="19053"/>
    <cellStyle name="Финансовый 7 4 6 2 2 3" xfId="19054"/>
    <cellStyle name="Финансовый 7 4 6 2 3" xfId="19055"/>
    <cellStyle name="Финансовый 7 4 6 2 4" xfId="19056"/>
    <cellStyle name="Финансовый 7 4 6 2 5" xfId="19057"/>
    <cellStyle name="Финансовый 7 4 6 3" xfId="19058"/>
    <cellStyle name="Финансовый 7 4 6 3 2" xfId="19059"/>
    <cellStyle name="Финансовый 7 4 6 3 3" xfId="19060"/>
    <cellStyle name="Финансовый 7 4 6 4" xfId="19061"/>
    <cellStyle name="Финансовый 7 4 6 5" xfId="19062"/>
    <cellStyle name="Финансовый 7 4 6 6" xfId="19063"/>
    <cellStyle name="Финансовый 7 4 7" xfId="19064"/>
    <cellStyle name="Финансовый 7 4 7 2" xfId="19065"/>
    <cellStyle name="Финансовый 7 4 7 2 2" xfId="19066"/>
    <cellStyle name="Финансовый 7 4 7 2 3" xfId="19067"/>
    <cellStyle name="Финансовый 7 4 7 3" xfId="19068"/>
    <cellStyle name="Финансовый 7 4 7 4" xfId="19069"/>
    <cellStyle name="Финансовый 7 4 7 5" xfId="19070"/>
    <cellStyle name="Финансовый 7 4 8" xfId="19071"/>
    <cellStyle name="Финансовый 7 4 8 2" xfId="19072"/>
    <cellStyle name="Финансовый 7 4 8 3" xfId="19073"/>
    <cellStyle name="Финансовый 7 4 9" xfId="19074"/>
    <cellStyle name="Финансовый 7 5" xfId="19075"/>
    <cellStyle name="Финансовый 7 6" xfId="19076"/>
    <cellStyle name="Финансовый 7 6 2" xfId="19077"/>
    <cellStyle name="Финансовый 7 6 2 2" xfId="19078"/>
    <cellStyle name="Финансовый 7 6 2 2 2" xfId="19079"/>
    <cellStyle name="Финансовый 7 6 2 2 3" xfId="19080"/>
    <cellStyle name="Финансовый 7 6 2 3" xfId="19081"/>
    <cellStyle name="Финансовый 7 6 2 4" xfId="19082"/>
    <cellStyle name="Финансовый 7 6 3" xfId="19083"/>
    <cellStyle name="Финансовый 7 6 3 2" xfId="19084"/>
    <cellStyle name="Финансовый 7 6 3 3" xfId="19085"/>
    <cellStyle name="Финансовый 7 6 4" xfId="19086"/>
    <cellStyle name="Финансовый 7 6 5" xfId="19087"/>
    <cellStyle name="Финансовый 7 7" xfId="19088"/>
    <cellStyle name="Финансовый 7 7 2" xfId="19089"/>
    <cellStyle name="Финансовый 7 7 2 2" xfId="19090"/>
    <cellStyle name="Финансовый 7 7 2 2 2" xfId="19091"/>
    <cellStyle name="Финансовый 7 7 2 2 3" xfId="19092"/>
    <cellStyle name="Финансовый 7 7 2 3" xfId="19093"/>
    <cellStyle name="Финансовый 7 7 2 4" xfId="19094"/>
    <cellStyle name="Финансовый 7 7 2 5" xfId="19095"/>
    <cellStyle name="Финансовый 7 7 3" xfId="19096"/>
    <cellStyle name="Финансовый 7 7 3 2" xfId="19097"/>
    <cellStyle name="Финансовый 7 7 3 3" xfId="19098"/>
    <cellStyle name="Финансовый 7 7 4" xfId="19099"/>
    <cellStyle name="Финансовый 7 7 5" xfId="19100"/>
    <cellStyle name="Финансовый 7 7 6" xfId="19101"/>
    <cellStyle name="Финансовый 7 8" xfId="19102"/>
    <cellStyle name="Финансовый 7 8 2" xfId="19103"/>
    <cellStyle name="Финансовый 7 8 2 2" xfId="19104"/>
    <cellStyle name="Финансовый 7 8 2 2 2" xfId="19105"/>
    <cellStyle name="Финансовый 7 8 2 2 3" xfId="19106"/>
    <cellStyle name="Финансовый 7 8 2 3" xfId="19107"/>
    <cellStyle name="Финансовый 7 8 2 4" xfId="19108"/>
    <cellStyle name="Финансовый 7 8 2 5" xfId="19109"/>
    <cellStyle name="Финансовый 7 8 3" xfId="19110"/>
    <cellStyle name="Финансовый 7 8 3 2" xfId="19111"/>
    <cellStyle name="Финансовый 7 8 3 3" xfId="19112"/>
    <cellStyle name="Финансовый 7 8 4" xfId="19113"/>
    <cellStyle name="Финансовый 7 8 5" xfId="19114"/>
    <cellStyle name="Финансовый 7 8 6" xfId="19115"/>
    <cellStyle name="Финансовый 7 9" xfId="19116"/>
    <cellStyle name="Финансовый 7 9 2" xfId="19117"/>
    <cellStyle name="Финансовый 7 9 2 2" xfId="19118"/>
    <cellStyle name="Финансовый 7 9 2 2 2" xfId="19119"/>
    <cellStyle name="Финансовый 7 9 2 2 3" xfId="19120"/>
    <cellStyle name="Финансовый 7 9 2 3" xfId="19121"/>
    <cellStyle name="Финансовый 7 9 2 4" xfId="19122"/>
    <cellStyle name="Финансовый 7 9 2 5" xfId="19123"/>
    <cellStyle name="Финансовый 7 9 3" xfId="19124"/>
    <cellStyle name="Финансовый 7 9 3 2" xfId="19125"/>
    <cellStyle name="Финансовый 7 9 3 3" xfId="19126"/>
    <cellStyle name="Финансовый 7 9 4" xfId="19127"/>
    <cellStyle name="Финансовый 7 9 5" xfId="19128"/>
    <cellStyle name="Финансовый 7 9 6" xfId="19129"/>
    <cellStyle name="Финансовый 70" xfId="19130"/>
    <cellStyle name="Финансовый 71" xfId="19131"/>
    <cellStyle name="Финансовый 72" xfId="19132"/>
    <cellStyle name="Финансовый 73" xfId="19977"/>
    <cellStyle name="Финансовый 8" xfId="19133"/>
    <cellStyle name="Финансовый 8 10" xfId="19134"/>
    <cellStyle name="Финансовый 8 10 2" xfId="19135"/>
    <cellStyle name="Финансовый 8 10 2 2" xfId="19136"/>
    <cellStyle name="Финансовый 8 10 2 3" xfId="19137"/>
    <cellStyle name="Финансовый 8 10 3" xfId="19138"/>
    <cellStyle name="Финансовый 8 10 4" xfId="19139"/>
    <cellStyle name="Финансовый 8 10 5" xfId="19140"/>
    <cellStyle name="Финансовый 8 11" xfId="19141"/>
    <cellStyle name="Финансовый 8 11 2" xfId="19142"/>
    <cellStyle name="Финансовый 8 11 3" xfId="19143"/>
    <cellStyle name="Финансовый 8 12" xfId="19144"/>
    <cellStyle name="Финансовый 8 13" xfId="19145"/>
    <cellStyle name="Финансовый 8 2" xfId="19146"/>
    <cellStyle name="Финансовый 8 2 10" xfId="19147"/>
    <cellStyle name="Финансовый 8 2 2" xfId="19148"/>
    <cellStyle name="Финансовый 8 2 3" xfId="19149"/>
    <cellStyle name="Финансовый 8 2 3 2" xfId="19150"/>
    <cellStyle name="Финансовый 8 2 3 2 2" xfId="19151"/>
    <cellStyle name="Финансовый 8 2 3 2 2 2" xfId="19152"/>
    <cellStyle name="Финансовый 8 2 3 2 2 3" xfId="19153"/>
    <cellStyle name="Финансовый 8 2 3 2 3" xfId="19154"/>
    <cellStyle name="Финансовый 8 2 3 2 4" xfId="19155"/>
    <cellStyle name="Финансовый 8 2 3 3" xfId="19156"/>
    <cellStyle name="Финансовый 8 2 3 3 2" xfId="19157"/>
    <cellStyle name="Финансовый 8 2 3 3 3" xfId="19158"/>
    <cellStyle name="Финансовый 8 2 3 4" xfId="19159"/>
    <cellStyle name="Финансовый 8 2 3 5" xfId="19160"/>
    <cellStyle name="Финансовый 8 2 4" xfId="19161"/>
    <cellStyle name="Финансовый 8 2 4 2" xfId="19162"/>
    <cellStyle name="Финансовый 8 2 4 2 2" xfId="19163"/>
    <cellStyle name="Финансовый 8 2 4 2 2 2" xfId="19164"/>
    <cellStyle name="Финансовый 8 2 4 2 2 3" xfId="19165"/>
    <cellStyle name="Финансовый 8 2 4 2 3" xfId="19166"/>
    <cellStyle name="Финансовый 8 2 4 2 4" xfId="19167"/>
    <cellStyle name="Финансовый 8 2 4 2 5" xfId="19168"/>
    <cellStyle name="Финансовый 8 2 4 3" xfId="19169"/>
    <cellStyle name="Финансовый 8 2 4 3 2" xfId="19170"/>
    <cellStyle name="Финансовый 8 2 4 3 3" xfId="19171"/>
    <cellStyle name="Финансовый 8 2 4 4" xfId="19172"/>
    <cellStyle name="Финансовый 8 2 4 5" xfId="19173"/>
    <cellStyle name="Финансовый 8 2 4 6" xfId="19174"/>
    <cellStyle name="Финансовый 8 2 5" xfId="19175"/>
    <cellStyle name="Финансовый 8 2 5 2" xfId="19176"/>
    <cellStyle name="Финансовый 8 2 5 2 2" xfId="19177"/>
    <cellStyle name="Финансовый 8 2 5 2 2 2" xfId="19178"/>
    <cellStyle name="Финансовый 8 2 5 2 2 3" xfId="19179"/>
    <cellStyle name="Финансовый 8 2 5 2 3" xfId="19180"/>
    <cellStyle name="Финансовый 8 2 5 2 4" xfId="19181"/>
    <cellStyle name="Финансовый 8 2 5 2 5" xfId="19182"/>
    <cellStyle name="Финансовый 8 2 5 3" xfId="19183"/>
    <cellStyle name="Финансовый 8 2 5 3 2" xfId="19184"/>
    <cellStyle name="Финансовый 8 2 5 3 3" xfId="19185"/>
    <cellStyle name="Финансовый 8 2 5 4" xfId="19186"/>
    <cellStyle name="Финансовый 8 2 5 5" xfId="19187"/>
    <cellStyle name="Финансовый 8 2 5 6" xfId="19188"/>
    <cellStyle name="Финансовый 8 2 6" xfId="19189"/>
    <cellStyle name="Финансовый 8 2 6 2" xfId="19190"/>
    <cellStyle name="Финансовый 8 2 6 2 2" xfId="19191"/>
    <cellStyle name="Финансовый 8 2 6 2 2 2" xfId="19192"/>
    <cellStyle name="Финансовый 8 2 6 2 2 3" xfId="19193"/>
    <cellStyle name="Финансовый 8 2 6 2 3" xfId="19194"/>
    <cellStyle name="Финансовый 8 2 6 2 4" xfId="19195"/>
    <cellStyle name="Финансовый 8 2 6 2 5" xfId="19196"/>
    <cellStyle name="Финансовый 8 2 6 3" xfId="19197"/>
    <cellStyle name="Финансовый 8 2 6 3 2" xfId="19198"/>
    <cellStyle name="Финансовый 8 2 6 3 3" xfId="19199"/>
    <cellStyle name="Финансовый 8 2 6 4" xfId="19200"/>
    <cellStyle name="Финансовый 8 2 6 5" xfId="19201"/>
    <cellStyle name="Финансовый 8 2 6 6" xfId="19202"/>
    <cellStyle name="Финансовый 8 2 7" xfId="19203"/>
    <cellStyle name="Финансовый 8 2 7 2" xfId="19204"/>
    <cellStyle name="Финансовый 8 2 7 2 2" xfId="19205"/>
    <cellStyle name="Финансовый 8 2 7 2 3" xfId="19206"/>
    <cellStyle name="Финансовый 8 2 7 3" xfId="19207"/>
    <cellStyle name="Финансовый 8 2 7 4" xfId="19208"/>
    <cellStyle name="Финансовый 8 2 7 5" xfId="19209"/>
    <cellStyle name="Финансовый 8 2 8" xfId="19210"/>
    <cellStyle name="Финансовый 8 2 8 2" xfId="19211"/>
    <cellStyle name="Финансовый 8 2 8 3" xfId="19212"/>
    <cellStyle name="Финансовый 8 2 9" xfId="19213"/>
    <cellStyle name="Финансовый 8 3" xfId="19214"/>
    <cellStyle name="Финансовый 8 3 10" xfId="19215"/>
    <cellStyle name="Финансовый 8 3 2" xfId="19216"/>
    <cellStyle name="Финансовый 8 3 2 2" xfId="19217"/>
    <cellStyle name="Финансовый 8 3 3" xfId="19218"/>
    <cellStyle name="Финансовый 8 3 3 2" xfId="19219"/>
    <cellStyle name="Финансовый 8 3 3 2 2" xfId="19220"/>
    <cellStyle name="Финансовый 8 3 3 2 2 2" xfId="19221"/>
    <cellStyle name="Финансовый 8 3 3 2 2 3" xfId="19222"/>
    <cellStyle name="Финансовый 8 3 3 2 3" xfId="19223"/>
    <cellStyle name="Финансовый 8 3 3 2 4" xfId="19224"/>
    <cellStyle name="Финансовый 8 3 3 3" xfId="19225"/>
    <cellStyle name="Финансовый 8 3 3 3 2" xfId="19226"/>
    <cellStyle name="Финансовый 8 3 3 3 3" xfId="19227"/>
    <cellStyle name="Финансовый 8 3 3 4" xfId="19228"/>
    <cellStyle name="Финансовый 8 3 3 5" xfId="19229"/>
    <cellStyle name="Финансовый 8 3 4" xfId="19230"/>
    <cellStyle name="Финансовый 8 3 4 2" xfId="19231"/>
    <cellStyle name="Финансовый 8 3 4 2 2" xfId="19232"/>
    <cellStyle name="Финансовый 8 3 4 2 2 2" xfId="19233"/>
    <cellStyle name="Финансовый 8 3 4 2 2 3" xfId="19234"/>
    <cellStyle name="Финансовый 8 3 4 2 3" xfId="19235"/>
    <cellStyle name="Финансовый 8 3 4 2 4" xfId="19236"/>
    <cellStyle name="Финансовый 8 3 4 2 5" xfId="19237"/>
    <cellStyle name="Финансовый 8 3 4 3" xfId="19238"/>
    <cellStyle name="Финансовый 8 3 4 3 2" xfId="19239"/>
    <cellStyle name="Финансовый 8 3 4 3 3" xfId="19240"/>
    <cellStyle name="Финансовый 8 3 4 4" xfId="19241"/>
    <cellStyle name="Финансовый 8 3 4 5" xfId="19242"/>
    <cellStyle name="Финансовый 8 3 4 6" xfId="19243"/>
    <cellStyle name="Финансовый 8 3 5" xfId="19244"/>
    <cellStyle name="Финансовый 8 3 5 2" xfId="19245"/>
    <cellStyle name="Финансовый 8 3 5 2 2" xfId="19246"/>
    <cellStyle name="Финансовый 8 3 5 2 2 2" xfId="19247"/>
    <cellStyle name="Финансовый 8 3 5 2 2 3" xfId="19248"/>
    <cellStyle name="Финансовый 8 3 5 2 3" xfId="19249"/>
    <cellStyle name="Финансовый 8 3 5 2 4" xfId="19250"/>
    <cellStyle name="Финансовый 8 3 5 2 5" xfId="19251"/>
    <cellStyle name="Финансовый 8 3 5 3" xfId="19252"/>
    <cellStyle name="Финансовый 8 3 5 3 2" xfId="19253"/>
    <cellStyle name="Финансовый 8 3 5 3 3" xfId="19254"/>
    <cellStyle name="Финансовый 8 3 5 4" xfId="19255"/>
    <cellStyle name="Финансовый 8 3 5 5" xfId="19256"/>
    <cellStyle name="Финансовый 8 3 5 6" xfId="19257"/>
    <cellStyle name="Финансовый 8 3 6" xfId="19258"/>
    <cellStyle name="Финансовый 8 3 6 2" xfId="19259"/>
    <cellStyle name="Финансовый 8 3 6 2 2" xfId="19260"/>
    <cellStyle name="Финансовый 8 3 6 2 2 2" xfId="19261"/>
    <cellStyle name="Финансовый 8 3 6 2 2 3" xfId="19262"/>
    <cellStyle name="Финансовый 8 3 6 2 3" xfId="19263"/>
    <cellStyle name="Финансовый 8 3 6 2 4" xfId="19264"/>
    <cellStyle name="Финансовый 8 3 6 2 5" xfId="19265"/>
    <cellStyle name="Финансовый 8 3 6 3" xfId="19266"/>
    <cellStyle name="Финансовый 8 3 6 3 2" xfId="19267"/>
    <cellStyle name="Финансовый 8 3 6 3 3" xfId="19268"/>
    <cellStyle name="Финансовый 8 3 6 4" xfId="19269"/>
    <cellStyle name="Финансовый 8 3 6 5" xfId="19270"/>
    <cellStyle name="Финансовый 8 3 6 6" xfId="19271"/>
    <cellStyle name="Финансовый 8 3 7" xfId="19272"/>
    <cellStyle name="Финансовый 8 3 7 2" xfId="19273"/>
    <cellStyle name="Финансовый 8 3 7 2 2" xfId="19274"/>
    <cellStyle name="Финансовый 8 3 7 2 3" xfId="19275"/>
    <cellStyle name="Финансовый 8 3 7 3" xfId="19276"/>
    <cellStyle name="Финансовый 8 3 7 4" xfId="19277"/>
    <cellStyle name="Финансовый 8 3 7 5" xfId="19278"/>
    <cellStyle name="Финансовый 8 3 8" xfId="19279"/>
    <cellStyle name="Финансовый 8 3 8 2" xfId="19280"/>
    <cellStyle name="Финансовый 8 3 8 3" xfId="19281"/>
    <cellStyle name="Финансовый 8 3 9" xfId="19282"/>
    <cellStyle name="Финансовый 8 4" xfId="19283"/>
    <cellStyle name="Финансовый 8 4 10" xfId="19284"/>
    <cellStyle name="Финансовый 8 4 2" xfId="19285"/>
    <cellStyle name="Финансовый 8 4 2 2" xfId="19286"/>
    <cellStyle name="Финансовый 8 4 2 2 2" xfId="19287"/>
    <cellStyle name="Финансовый 8 4 2 2 2 2" xfId="19288"/>
    <cellStyle name="Финансовый 8 4 2 2 2 3" xfId="19289"/>
    <cellStyle name="Финансовый 8 4 2 2 3" xfId="19290"/>
    <cellStyle name="Финансовый 8 4 2 2 4" xfId="19291"/>
    <cellStyle name="Финансовый 8 4 2 2 5" xfId="19292"/>
    <cellStyle name="Финансовый 8 4 2 3" xfId="19293"/>
    <cellStyle name="Финансовый 8 4 2 3 2" xfId="19294"/>
    <cellStyle name="Финансовый 8 4 2 3 3" xfId="19295"/>
    <cellStyle name="Финансовый 8 4 2 4" xfId="19296"/>
    <cellStyle name="Финансовый 8 4 2 5" xfId="19297"/>
    <cellStyle name="Финансовый 8 4 3" xfId="19298"/>
    <cellStyle name="Финансовый 8 4 3 2" xfId="19299"/>
    <cellStyle name="Финансовый 8 4 3 2 2" xfId="19300"/>
    <cellStyle name="Финансовый 8 4 3 2 2 2" xfId="19301"/>
    <cellStyle name="Финансовый 8 4 3 2 2 3" xfId="19302"/>
    <cellStyle name="Финансовый 8 4 3 2 3" xfId="19303"/>
    <cellStyle name="Финансовый 8 4 3 2 4" xfId="19304"/>
    <cellStyle name="Финансовый 8 4 3 3" xfId="19305"/>
    <cellStyle name="Финансовый 8 4 3 3 2" xfId="19306"/>
    <cellStyle name="Финансовый 8 4 3 3 3" xfId="19307"/>
    <cellStyle name="Финансовый 8 4 3 4" xfId="19308"/>
    <cellStyle name="Финансовый 8 4 3 5" xfId="19309"/>
    <cellStyle name="Финансовый 8 4 4" xfId="19310"/>
    <cellStyle name="Финансовый 8 4 4 2" xfId="19311"/>
    <cellStyle name="Финансовый 8 4 4 2 2" xfId="19312"/>
    <cellStyle name="Финансовый 8 4 4 2 2 2" xfId="19313"/>
    <cellStyle name="Финансовый 8 4 4 2 2 3" xfId="19314"/>
    <cellStyle name="Финансовый 8 4 4 2 3" xfId="19315"/>
    <cellStyle name="Финансовый 8 4 4 2 4" xfId="19316"/>
    <cellStyle name="Финансовый 8 4 4 2 5" xfId="19317"/>
    <cellStyle name="Финансовый 8 4 4 3" xfId="19318"/>
    <cellStyle name="Финансовый 8 4 4 3 2" xfId="19319"/>
    <cellStyle name="Финансовый 8 4 4 3 3" xfId="19320"/>
    <cellStyle name="Финансовый 8 4 4 4" xfId="19321"/>
    <cellStyle name="Финансовый 8 4 4 5" xfId="19322"/>
    <cellStyle name="Финансовый 8 4 4 6" xfId="19323"/>
    <cellStyle name="Финансовый 8 4 5" xfId="19324"/>
    <cellStyle name="Финансовый 8 4 5 2" xfId="19325"/>
    <cellStyle name="Финансовый 8 4 5 2 2" xfId="19326"/>
    <cellStyle name="Финансовый 8 4 5 2 2 2" xfId="19327"/>
    <cellStyle name="Финансовый 8 4 5 2 2 3" xfId="19328"/>
    <cellStyle name="Финансовый 8 4 5 2 3" xfId="19329"/>
    <cellStyle name="Финансовый 8 4 5 2 4" xfId="19330"/>
    <cellStyle name="Финансовый 8 4 5 2 5" xfId="19331"/>
    <cellStyle name="Финансовый 8 4 5 3" xfId="19332"/>
    <cellStyle name="Финансовый 8 4 5 3 2" xfId="19333"/>
    <cellStyle name="Финансовый 8 4 5 3 3" xfId="19334"/>
    <cellStyle name="Финансовый 8 4 5 4" xfId="19335"/>
    <cellStyle name="Финансовый 8 4 5 5" xfId="19336"/>
    <cellStyle name="Финансовый 8 4 5 6" xfId="19337"/>
    <cellStyle name="Финансовый 8 4 6" xfId="19338"/>
    <cellStyle name="Финансовый 8 4 6 2" xfId="19339"/>
    <cellStyle name="Финансовый 8 4 6 2 2" xfId="19340"/>
    <cellStyle name="Финансовый 8 4 6 2 2 2" xfId="19341"/>
    <cellStyle name="Финансовый 8 4 6 2 2 3" xfId="19342"/>
    <cellStyle name="Финансовый 8 4 6 2 3" xfId="19343"/>
    <cellStyle name="Финансовый 8 4 6 2 4" xfId="19344"/>
    <cellStyle name="Финансовый 8 4 6 2 5" xfId="19345"/>
    <cellStyle name="Финансовый 8 4 6 3" xfId="19346"/>
    <cellStyle name="Финансовый 8 4 6 3 2" xfId="19347"/>
    <cellStyle name="Финансовый 8 4 6 3 3" xfId="19348"/>
    <cellStyle name="Финансовый 8 4 6 4" xfId="19349"/>
    <cellStyle name="Финансовый 8 4 6 5" xfId="19350"/>
    <cellStyle name="Финансовый 8 4 6 6" xfId="19351"/>
    <cellStyle name="Финансовый 8 4 7" xfId="19352"/>
    <cellStyle name="Финансовый 8 4 7 2" xfId="19353"/>
    <cellStyle name="Финансовый 8 4 7 2 2" xfId="19354"/>
    <cellStyle name="Финансовый 8 4 7 2 3" xfId="19355"/>
    <cellStyle name="Финансовый 8 4 7 3" xfId="19356"/>
    <cellStyle name="Финансовый 8 4 7 4" xfId="19357"/>
    <cellStyle name="Финансовый 8 4 7 5" xfId="19358"/>
    <cellStyle name="Финансовый 8 4 8" xfId="19359"/>
    <cellStyle name="Финансовый 8 4 8 2" xfId="19360"/>
    <cellStyle name="Финансовый 8 4 8 3" xfId="19361"/>
    <cellStyle name="Финансовый 8 4 9" xfId="19362"/>
    <cellStyle name="Финансовый 8 5" xfId="19363"/>
    <cellStyle name="Финансовый 8 5 2" xfId="19364"/>
    <cellStyle name="Финансовый 8 6" xfId="19365"/>
    <cellStyle name="Финансовый 8 6 2" xfId="19366"/>
    <cellStyle name="Финансовый 8 6 2 2" xfId="19367"/>
    <cellStyle name="Финансовый 8 6 2 2 2" xfId="19368"/>
    <cellStyle name="Финансовый 8 6 2 2 3" xfId="19369"/>
    <cellStyle name="Финансовый 8 6 2 3" xfId="19370"/>
    <cellStyle name="Финансовый 8 6 2 4" xfId="19371"/>
    <cellStyle name="Финансовый 8 6 3" xfId="19372"/>
    <cellStyle name="Финансовый 8 6 3 2" xfId="19373"/>
    <cellStyle name="Финансовый 8 6 3 3" xfId="19374"/>
    <cellStyle name="Финансовый 8 6 4" xfId="19375"/>
    <cellStyle name="Финансовый 8 6 5" xfId="19376"/>
    <cellStyle name="Финансовый 8 7" xfId="19377"/>
    <cellStyle name="Финансовый 8 7 2" xfId="19378"/>
    <cellStyle name="Финансовый 8 7 2 2" xfId="19379"/>
    <cellStyle name="Финансовый 8 7 2 2 2" xfId="19380"/>
    <cellStyle name="Финансовый 8 7 2 2 3" xfId="19381"/>
    <cellStyle name="Финансовый 8 7 2 3" xfId="19382"/>
    <cellStyle name="Финансовый 8 7 2 4" xfId="19383"/>
    <cellStyle name="Финансовый 8 7 2 5" xfId="19384"/>
    <cellStyle name="Финансовый 8 7 3" xfId="19385"/>
    <cellStyle name="Финансовый 8 7 3 2" xfId="19386"/>
    <cellStyle name="Финансовый 8 7 3 3" xfId="19387"/>
    <cellStyle name="Финансовый 8 7 4" xfId="19388"/>
    <cellStyle name="Финансовый 8 7 5" xfId="19389"/>
    <cellStyle name="Финансовый 8 7 6" xfId="19390"/>
    <cellStyle name="Финансовый 8 8" xfId="19391"/>
    <cellStyle name="Финансовый 8 8 2" xfId="19392"/>
    <cellStyle name="Финансовый 8 8 2 2" xfId="19393"/>
    <cellStyle name="Финансовый 8 8 2 2 2" xfId="19394"/>
    <cellStyle name="Финансовый 8 8 2 2 3" xfId="19395"/>
    <cellStyle name="Финансовый 8 8 2 3" xfId="19396"/>
    <cellStyle name="Финансовый 8 8 2 4" xfId="19397"/>
    <cellStyle name="Финансовый 8 8 2 5" xfId="19398"/>
    <cellStyle name="Финансовый 8 8 3" xfId="19399"/>
    <cellStyle name="Финансовый 8 8 3 2" xfId="19400"/>
    <cellStyle name="Финансовый 8 8 3 3" xfId="19401"/>
    <cellStyle name="Финансовый 8 8 4" xfId="19402"/>
    <cellStyle name="Финансовый 8 8 5" xfId="19403"/>
    <cellStyle name="Финансовый 8 8 6" xfId="19404"/>
    <cellStyle name="Финансовый 8 9" xfId="19405"/>
    <cellStyle name="Финансовый 8 9 2" xfId="19406"/>
    <cellStyle name="Финансовый 8 9 2 2" xfId="19407"/>
    <cellStyle name="Финансовый 8 9 2 2 2" xfId="19408"/>
    <cellStyle name="Финансовый 8 9 2 2 3" xfId="19409"/>
    <cellStyle name="Финансовый 8 9 2 3" xfId="19410"/>
    <cellStyle name="Финансовый 8 9 2 4" xfId="19411"/>
    <cellStyle name="Финансовый 8 9 2 5" xfId="19412"/>
    <cellStyle name="Финансовый 8 9 3" xfId="19413"/>
    <cellStyle name="Финансовый 8 9 3 2" xfId="19414"/>
    <cellStyle name="Финансовый 8 9 3 3" xfId="19415"/>
    <cellStyle name="Финансовый 8 9 4" xfId="19416"/>
    <cellStyle name="Финансовый 8 9 5" xfId="19417"/>
    <cellStyle name="Финансовый 8 9 6" xfId="19418"/>
    <cellStyle name="Финансовый 9" xfId="19419"/>
    <cellStyle name="Финансовый 9 10" xfId="19420"/>
    <cellStyle name="Финансовый 9 2" xfId="19421"/>
    <cellStyle name="Финансовый 9 2 2" xfId="19422"/>
    <cellStyle name="Финансовый 9 3" xfId="19423"/>
    <cellStyle name="Финансовый 9 3 2" xfId="19424"/>
    <cellStyle name="Финансовый 9 3 2 2" xfId="19425"/>
    <cellStyle name="Финансовый 9 3 2 2 2" xfId="19426"/>
    <cellStyle name="Финансовый 9 3 2 2 3" xfId="19427"/>
    <cellStyle name="Финансовый 9 3 2 3" xfId="19428"/>
    <cellStyle name="Финансовый 9 3 2 4" xfId="19429"/>
    <cellStyle name="Финансовый 9 3 3" xfId="19430"/>
    <cellStyle name="Финансовый 9 3 3 2" xfId="19431"/>
    <cellStyle name="Финансовый 9 3 3 3" xfId="19432"/>
    <cellStyle name="Финансовый 9 3 4" xfId="19433"/>
    <cellStyle name="Финансовый 9 3 5" xfId="19434"/>
    <cellStyle name="Финансовый 9 4" xfId="19435"/>
    <cellStyle name="Финансовый 9 4 2" xfId="19436"/>
    <cellStyle name="Финансовый 9 4 2 2" xfId="19437"/>
    <cellStyle name="Финансовый 9 4 2 2 2" xfId="19438"/>
    <cellStyle name="Финансовый 9 4 2 2 3" xfId="19439"/>
    <cellStyle name="Финансовый 9 4 2 3" xfId="19440"/>
    <cellStyle name="Финансовый 9 4 2 4" xfId="19441"/>
    <cellStyle name="Финансовый 9 4 2 5" xfId="19442"/>
    <cellStyle name="Финансовый 9 4 3" xfId="19443"/>
    <cellStyle name="Финансовый 9 4 3 2" xfId="19444"/>
    <cellStyle name="Финансовый 9 4 3 3" xfId="19445"/>
    <cellStyle name="Финансовый 9 4 4" xfId="19446"/>
    <cellStyle name="Финансовый 9 4 5" xfId="19447"/>
    <cellStyle name="Финансовый 9 4 6" xfId="19448"/>
    <cellStyle name="Финансовый 9 5" xfId="19449"/>
    <cellStyle name="Финансовый 9 5 2" xfId="19450"/>
    <cellStyle name="Финансовый 9 5 2 2" xfId="19451"/>
    <cellStyle name="Финансовый 9 5 2 2 2" xfId="19452"/>
    <cellStyle name="Финансовый 9 5 2 2 3" xfId="19453"/>
    <cellStyle name="Финансовый 9 5 2 3" xfId="19454"/>
    <cellStyle name="Финансовый 9 5 2 4" xfId="19455"/>
    <cellStyle name="Финансовый 9 5 2 5" xfId="19456"/>
    <cellStyle name="Финансовый 9 5 3" xfId="19457"/>
    <cellStyle name="Финансовый 9 5 3 2" xfId="19458"/>
    <cellStyle name="Финансовый 9 5 3 3" xfId="19459"/>
    <cellStyle name="Финансовый 9 5 4" xfId="19460"/>
    <cellStyle name="Финансовый 9 5 5" xfId="19461"/>
    <cellStyle name="Финансовый 9 5 6" xfId="19462"/>
    <cellStyle name="Финансовый 9 6" xfId="19463"/>
    <cellStyle name="Финансовый 9 6 2" xfId="19464"/>
    <cellStyle name="Финансовый 9 6 2 2" xfId="19465"/>
    <cellStyle name="Финансовый 9 6 2 2 2" xfId="19466"/>
    <cellStyle name="Финансовый 9 6 2 2 3" xfId="19467"/>
    <cellStyle name="Финансовый 9 6 2 3" xfId="19468"/>
    <cellStyle name="Финансовый 9 6 2 4" xfId="19469"/>
    <cellStyle name="Финансовый 9 6 2 5" xfId="19470"/>
    <cellStyle name="Финансовый 9 6 3" xfId="19471"/>
    <cellStyle name="Финансовый 9 6 3 2" xfId="19472"/>
    <cellStyle name="Финансовый 9 6 3 3" xfId="19473"/>
    <cellStyle name="Финансовый 9 6 4" xfId="19474"/>
    <cellStyle name="Финансовый 9 6 5" xfId="19475"/>
    <cellStyle name="Финансовый 9 6 6" xfId="19476"/>
    <cellStyle name="Финансовый 9 7" xfId="19477"/>
    <cellStyle name="Финансовый 9 7 2" xfId="19478"/>
    <cellStyle name="Финансовый 9 7 2 2" xfId="19479"/>
    <cellStyle name="Финансовый 9 7 2 3" xfId="19480"/>
    <cellStyle name="Финансовый 9 7 3" xfId="19481"/>
    <cellStyle name="Финансовый 9 7 4" xfId="19482"/>
    <cellStyle name="Финансовый 9 7 5" xfId="19483"/>
    <cellStyle name="Финансовый 9 8" xfId="19484"/>
    <cellStyle name="Финансовый 9 8 2" xfId="19485"/>
    <cellStyle name="Финансовый 9 8 3" xfId="19486"/>
    <cellStyle name="Финансовый 9 9" xfId="19487"/>
    <cellStyle name="Формулы" xfId="19488"/>
    <cellStyle name="Формулы 2" xfId="19489"/>
    <cellStyle name="Формулы 2 2" xfId="19490"/>
    <cellStyle name="Формулы 2 2 2" xfId="19491"/>
    <cellStyle name="Формулы 2 2 3" xfId="19492"/>
    <cellStyle name="Формулы 2 2 4" xfId="19493"/>
    <cellStyle name="Формулы 2 2 5" xfId="19494"/>
    <cellStyle name="Формулы 2 3" xfId="19495"/>
    <cellStyle name="Формулы 2 4" xfId="19496"/>
    <cellStyle name="Формулы 2 5" xfId="19497"/>
    <cellStyle name="Формулы 2 6" xfId="19498"/>
    <cellStyle name="Формулы 2 7" xfId="19499"/>
    <cellStyle name="Формулы 3" xfId="19500"/>
    <cellStyle name="Формулы 3 2" xfId="19501"/>
    <cellStyle name="Формулы 3 3" xfId="19502"/>
    <cellStyle name="Формулы 3 4" xfId="19503"/>
    <cellStyle name="Формулы 3 5" xfId="19504"/>
    <cellStyle name="Формулы 4" xfId="19505"/>
    <cellStyle name="Хороший 2" xfId="19506"/>
    <cellStyle name="Хороший 2 2" xfId="19507"/>
    <cellStyle name="Хороший 3" xfId="19508"/>
    <cellStyle name="Хороший 3 2" xfId="19509"/>
    <cellStyle name="ЏђЋ–…Ќ’Ќ›‰" xfId="19510"/>
    <cellStyle name="ЏђЋ–…Ќ’Ќ›‰ 2" xfId="19511"/>
  </cellStyles>
  <dxfs count="0"/>
  <tableStyles count="0" defaultTableStyle="TableStyleMedium2" defaultPivotStyle="PivotStyleLight16"/>
  <colors>
    <mruColors>
      <color rgb="FFFF0000"/>
      <color rgb="FFCCFFFF"/>
      <color rgb="FF0000FF"/>
      <color rgb="FF0066FF"/>
      <color rgb="FFFFFFCC"/>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215447</xdr:colOff>
      <xdr:row>521</xdr:row>
      <xdr:rowOff>117929</xdr:rowOff>
    </xdr:from>
    <xdr:to>
      <xdr:col>2</xdr:col>
      <xdr:colOff>5780598</xdr:colOff>
      <xdr:row>526</xdr:row>
      <xdr:rowOff>81974</xdr:rowOff>
    </xdr:to>
    <xdr:sp macro="" textlink="">
      <xdr:nvSpPr>
        <xdr:cNvPr id="2" name="TextBox 1"/>
        <xdr:cNvSpPr txBox="1">
          <a:spLocks noChangeArrowheads="1"/>
        </xdr:cNvSpPr>
      </xdr:nvSpPr>
      <xdr:spPr bwMode="auto">
        <a:xfrm>
          <a:off x="1154340" y="141673036"/>
          <a:ext cx="6680937" cy="1855438"/>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4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548"/>
  <sheetViews>
    <sheetView tabSelected="1" view="pageBreakPreview" zoomScale="55" zoomScaleNormal="70" zoomScaleSheetLayoutView="55" workbookViewId="0">
      <selection activeCell="B514" sqref="B514:V514"/>
    </sheetView>
  </sheetViews>
  <sheetFormatPr defaultColWidth="9" defaultRowHeight="15" outlineLevelRow="1" outlineLevelCol="1"/>
  <cols>
    <col min="1" max="1" width="14.140625" style="72" customWidth="1"/>
    <col min="2" max="2" width="16.7109375" style="72" customWidth="1"/>
    <col min="3" max="3" width="121.5703125" style="79" customWidth="1"/>
    <col min="4" max="4" width="10" style="79" customWidth="1"/>
    <col min="5" max="5" width="13.7109375" style="74" customWidth="1"/>
    <col min="6" max="8" width="11.7109375" style="74" hidden="1" customWidth="1" outlineLevel="1"/>
    <col min="9" max="9" width="13.85546875" style="74" hidden="1" customWidth="1" outlineLevel="1"/>
    <col min="10" max="11" width="11.7109375" style="74" hidden="1" customWidth="1" outlineLevel="1"/>
    <col min="12" max="13" width="12.5703125" style="74" hidden="1" customWidth="1" outlineLevel="1"/>
    <col min="14" max="14" width="13" style="74" hidden="1" customWidth="1" outlineLevel="1"/>
    <col min="15" max="15" width="19.140625" style="74" customWidth="1" collapsed="1"/>
    <col min="16" max="16" width="16" style="75" customWidth="1"/>
    <col min="17" max="17" width="15.85546875" style="76" customWidth="1"/>
    <col min="18" max="18" width="18.85546875" style="77" customWidth="1"/>
    <col min="19" max="19" width="17.5703125" style="77" customWidth="1"/>
    <col min="20" max="20" width="18.28515625" style="77" customWidth="1"/>
    <col min="21" max="21" width="19.85546875" style="78" customWidth="1"/>
    <col min="22" max="22" width="49.85546875" style="72" customWidth="1"/>
    <col min="23" max="23" width="9.85546875" style="72" customWidth="1"/>
    <col min="24" max="24" width="103.42578125" style="73" customWidth="1"/>
    <col min="25" max="233" width="9" style="72"/>
    <col min="234" max="234" width="3.85546875" style="72" customWidth="1"/>
    <col min="235" max="235" width="78.5703125" style="72" customWidth="1"/>
    <col min="236" max="236" width="6.28515625" style="72" customWidth="1"/>
    <col min="237" max="238" width="8.7109375" style="72" customWidth="1"/>
    <col min="239" max="239" width="9.140625" style="72" customWidth="1"/>
    <col min="240" max="240" width="8.5703125" style="72" customWidth="1"/>
    <col min="241" max="242" width="9.42578125" style="72" customWidth="1"/>
    <col min="243" max="243" width="10" style="72" customWidth="1"/>
    <col min="244" max="489" width="9" style="72"/>
    <col min="490" max="490" width="3.85546875" style="72" customWidth="1"/>
    <col min="491" max="491" width="78.5703125" style="72" customWidth="1"/>
    <col min="492" max="492" width="6.28515625" style="72" customWidth="1"/>
    <col min="493" max="494" width="8.7109375" style="72" customWidth="1"/>
    <col min="495" max="495" width="9.140625" style="72" customWidth="1"/>
    <col min="496" max="496" width="8.5703125" style="72" customWidth="1"/>
    <col min="497" max="498" width="9.42578125" style="72" customWidth="1"/>
    <col min="499" max="499" width="10" style="72" customWidth="1"/>
    <col min="500" max="745" width="9" style="72"/>
    <col min="746" max="746" width="3.85546875" style="72" customWidth="1"/>
    <col min="747" max="747" width="78.5703125" style="72" customWidth="1"/>
    <col min="748" max="748" width="6.28515625" style="72" customWidth="1"/>
    <col min="749" max="750" width="8.7109375" style="72" customWidth="1"/>
    <col min="751" max="751" width="9.140625" style="72" customWidth="1"/>
    <col min="752" max="752" width="8.5703125" style="72" customWidth="1"/>
    <col min="753" max="754" width="9.42578125" style="72" customWidth="1"/>
    <col min="755" max="755" width="10" style="72" customWidth="1"/>
    <col min="756" max="1001" width="9" style="72"/>
    <col min="1002" max="1002" width="3.85546875" style="72" customWidth="1"/>
    <col min="1003" max="1003" width="78.5703125" style="72" customWidth="1"/>
    <col min="1004" max="1004" width="6.28515625" style="72" customWidth="1"/>
    <col min="1005" max="1006" width="8.7109375" style="72" customWidth="1"/>
    <col min="1007" max="1007" width="9.140625" style="72" customWidth="1"/>
    <col min="1008" max="1008" width="8.5703125" style="72" customWidth="1"/>
    <col min="1009" max="1010" width="9.42578125" style="72" customWidth="1"/>
    <col min="1011" max="1011" width="10" style="72" customWidth="1"/>
    <col min="1012" max="1257" width="9" style="72"/>
    <col min="1258" max="1258" width="3.85546875" style="72" customWidth="1"/>
    <col min="1259" max="1259" width="78.5703125" style="72" customWidth="1"/>
    <col min="1260" max="1260" width="6.28515625" style="72" customWidth="1"/>
    <col min="1261" max="1262" width="8.7109375" style="72" customWidth="1"/>
    <col min="1263" max="1263" width="9.140625" style="72" customWidth="1"/>
    <col min="1264" max="1264" width="8.5703125" style="72" customWidth="1"/>
    <col min="1265" max="1266" width="9.42578125" style="72" customWidth="1"/>
    <col min="1267" max="1267" width="10" style="72" customWidth="1"/>
    <col min="1268" max="1513" width="9" style="72"/>
    <col min="1514" max="1514" width="3.85546875" style="72" customWidth="1"/>
    <col min="1515" max="1515" width="78.5703125" style="72" customWidth="1"/>
    <col min="1516" max="1516" width="6.28515625" style="72" customWidth="1"/>
    <col min="1517" max="1518" width="8.7109375" style="72" customWidth="1"/>
    <col min="1519" max="1519" width="9.140625" style="72" customWidth="1"/>
    <col min="1520" max="1520" width="8.5703125" style="72" customWidth="1"/>
    <col min="1521" max="1522" width="9.42578125" style="72" customWidth="1"/>
    <col min="1523" max="1523" width="10" style="72" customWidth="1"/>
    <col min="1524" max="1769" width="9" style="72"/>
    <col min="1770" max="1770" width="3.85546875" style="72" customWidth="1"/>
    <col min="1771" max="1771" width="78.5703125" style="72" customWidth="1"/>
    <col min="1772" max="1772" width="6.28515625" style="72" customWidth="1"/>
    <col min="1773" max="1774" width="8.7109375" style="72" customWidth="1"/>
    <col min="1775" max="1775" width="9.140625" style="72" customWidth="1"/>
    <col min="1776" max="1776" width="8.5703125" style="72" customWidth="1"/>
    <col min="1777" max="1778" width="9.42578125" style="72" customWidth="1"/>
    <col min="1779" max="1779" width="10" style="72" customWidth="1"/>
    <col min="1780" max="2025" width="9" style="72"/>
    <col min="2026" max="2026" width="3.85546875" style="72" customWidth="1"/>
    <col min="2027" max="2027" width="78.5703125" style="72" customWidth="1"/>
    <col min="2028" max="2028" width="6.28515625" style="72" customWidth="1"/>
    <col min="2029" max="2030" width="8.7109375" style="72" customWidth="1"/>
    <col min="2031" max="2031" width="9.140625" style="72" customWidth="1"/>
    <col min="2032" max="2032" width="8.5703125" style="72" customWidth="1"/>
    <col min="2033" max="2034" width="9.42578125" style="72" customWidth="1"/>
    <col min="2035" max="2035" width="10" style="72" customWidth="1"/>
    <col min="2036" max="2281" width="9" style="72"/>
    <col min="2282" max="2282" width="3.85546875" style="72" customWidth="1"/>
    <col min="2283" max="2283" width="78.5703125" style="72" customWidth="1"/>
    <col min="2284" max="2284" width="6.28515625" style="72" customWidth="1"/>
    <col min="2285" max="2286" width="8.7109375" style="72" customWidth="1"/>
    <col min="2287" max="2287" width="9.140625" style="72" customWidth="1"/>
    <col min="2288" max="2288" width="8.5703125" style="72" customWidth="1"/>
    <col min="2289" max="2290" width="9.42578125" style="72" customWidth="1"/>
    <col min="2291" max="2291" width="10" style="72" customWidth="1"/>
    <col min="2292" max="2537" width="9" style="72"/>
    <col min="2538" max="2538" width="3.85546875" style="72" customWidth="1"/>
    <col min="2539" max="2539" width="78.5703125" style="72" customWidth="1"/>
    <col min="2540" max="2540" width="6.28515625" style="72" customWidth="1"/>
    <col min="2541" max="2542" width="8.7109375" style="72" customWidth="1"/>
    <col min="2543" max="2543" width="9.140625" style="72" customWidth="1"/>
    <col min="2544" max="2544" width="8.5703125" style="72" customWidth="1"/>
    <col min="2545" max="2546" width="9.42578125" style="72" customWidth="1"/>
    <col min="2547" max="2547" width="10" style="72" customWidth="1"/>
    <col min="2548" max="2793" width="9" style="72"/>
    <col min="2794" max="2794" width="3.85546875" style="72" customWidth="1"/>
    <col min="2795" max="2795" width="78.5703125" style="72" customWidth="1"/>
    <col min="2796" max="2796" width="6.28515625" style="72" customWidth="1"/>
    <col min="2797" max="2798" width="8.7109375" style="72" customWidth="1"/>
    <col min="2799" max="2799" width="9.140625" style="72" customWidth="1"/>
    <col min="2800" max="2800" width="8.5703125" style="72" customWidth="1"/>
    <col min="2801" max="2802" width="9.42578125" style="72" customWidth="1"/>
    <col min="2803" max="2803" width="10" style="72" customWidth="1"/>
    <col min="2804" max="3049" width="9" style="72"/>
    <col min="3050" max="3050" width="3.85546875" style="72" customWidth="1"/>
    <col min="3051" max="3051" width="78.5703125" style="72" customWidth="1"/>
    <col min="3052" max="3052" width="6.28515625" style="72" customWidth="1"/>
    <col min="3053" max="3054" width="8.7109375" style="72" customWidth="1"/>
    <col min="3055" max="3055" width="9.140625" style="72" customWidth="1"/>
    <col min="3056" max="3056" width="8.5703125" style="72" customWidth="1"/>
    <col min="3057" max="3058" width="9.42578125" style="72" customWidth="1"/>
    <col min="3059" max="3059" width="10" style="72" customWidth="1"/>
    <col min="3060" max="3305" width="9" style="72"/>
    <col min="3306" max="3306" width="3.85546875" style="72" customWidth="1"/>
    <col min="3307" max="3307" width="78.5703125" style="72" customWidth="1"/>
    <col min="3308" max="3308" width="6.28515625" style="72" customWidth="1"/>
    <col min="3309" max="3310" width="8.7109375" style="72" customWidth="1"/>
    <col min="3311" max="3311" width="9.140625" style="72" customWidth="1"/>
    <col min="3312" max="3312" width="8.5703125" style="72" customWidth="1"/>
    <col min="3313" max="3314" width="9.42578125" style="72" customWidth="1"/>
    <col min="3315" max="3315" width="10" style="72" customWidth="1"/>
    <col min="3316" max="3561" width="9" style="72"/>
    <col min="3562" max="3562" width="3.85546875" style="72" customWidth="1"/>
    <col min="3563" max="3563" width="78.5703125" style="72" customWidth="1"/>
    <col min="3564" max="3564" width="6.28515625" style="72" customWidth="1"/>
    <col min="3565" max="3566" width="8.7109375" style="72" customWidth="1"/>
    <col min="3567" max="3567" width="9.140625" style="72" customWidth="1"/>
    <col min="3568" max="3568" width="8.5703125" style="72" customWidth="1"/>
    <col min="3569" max="3570" width="9.42578125" style="72" customWidth="1"/>
    <col min="3571" max="3571" width="10" style="72" customWidth="1"/>
    <col min="3572" max="3817" width="9" style="72"/>
    <col min="3818" max="3818" width="3.85546875" style="72" customWidth="1"/>
    <col min="3819" max="3819" width="78.5703125" style="72" customWidth="1"/>
    <col min="3820" max="3820" width="6.28515625" style="72" customWidth="1"/>
    <col min="3821" max="3822" width="8.7109375" style="72" customWidth="1"/>
    <col min="3823" max="3823" width="9.140625" style="72" customWidth="1"/>
    <col min="3824" max="3824" width="8.5703125" style="72" customWidth="1"/>
    <col min="3825" max="3826" width="9.42578125" style="72" customWidth="1"/>
    <col min="3827" max="3827" width="10" style="72" customWidth="1"/>
    <col min="3828" max="4073" width="9" style="72"/>
    <col min="4074" max="4074" width="3.85546875" style="72" customWidth="1"/>
    <col min="4075" max="4075" width="78.5703125" style="72" customWidth="1"/>
    <col min="4076" max="4076" width="6.28515625" style="72" customWidth="1"/>
    <col min="4077" max="4078" width="8.7109375" style="72" customWidth="1"/>
    <col min="4079" max="4079" width="9.140625" style="72" customWidth="1"/>
    <col min="4080" max="4080" width="8.5703125" style="72" customWidth="1"/>
    <col min="4081" max="4082" width="9.42578125" style="72" customWidth="1"/>
    <col min="4083" max="4083" width="10" style="72" customWidth="1"/>
    <col min="4084" max="4329" width="9" style="72"/>
    <col min="4330" max="4330" width="3.85546875" style="72" customWidth="1"/>
    <col min="4331" max="4331" width="78.5703125" style="72" customWidth="1"/>
    <col min="4332" max="4332" width="6.28515625" style="72" customWidth="1"/>
    <col min="4333" max="4334" width="8.7109375" style="72" customWidth="1"/>
    <col min="4335" max="4335" width="9.140625" style="72" customWidth="1"/>
    <col min="4336" max="4336" width="8.5703125" style="72" customWidth="1"/>
    <col min="4337" max="4338" width="9.42578125" style="72" customWidth="1"/>
    <col min="4339" max="4339" width="10" style="72" customWidth="1"/>
    <col min="4340" max="4585" width="9" style="72"/>
    <col min="4586" max="4586" width="3.85546875" style="72" customWidth="1"/>
    <col min="4587" max="4587" width="78.5703125" style="72" customWidth="1"/>
    <col min="4588" max="4588" width="6.28515625" style="72" customWidth="1"/>
    <col min="4589" max="4590" width="8.7109375" style="72" customWidth="1"/>
    <col min="4591" max="4591" width="9.140625" style="72" customWidth="1"/>
    <col min="4592" max="4592" width="8.5703125" style="72" customWidth="1"/>
    <col min="4593" max="4594" width="9.42578125" style="72" customWidth="1"/>
    <col min="4595" max="4595" width="10" style="72" customWidth="1"/>
    <col min="4596" max="4841" width="9" style="72"/>
    <col min="4842" max="4842" width="3.85546875" style="72" customWidth="1"/>
    <col min="4843" max="4843" width="78.5703125" style="72" customWidth="1"/>
    <col min="4844" max="4844" width="6.28515625" style="72" customWidth="1"/>
    <col min="4845" max="4846" width="8.7109375" style="72" customWidth="1"/>
    <col min="4847" max="4847" width="9.140625" style="72" customWidth="1"/>
    <col min="4848" max="4848" width="8.5703125" style="72" customWidth="1"/>
    <col min="4849" max="4850" width="9.42578125" style="72" customWidth="1"/>
    <col min="4851" max="4851" width="10" style="72" customWidth="1"/>
    <col min="4852" max="5097" width="9" style="72"/>
    <col min="5098" max="5098" width="3.85546875" style="72" customWidth="1"/>
    <col min="5099" max="5099" width="78.5703125" style="72" customWidth="1"/>
    <col min="5100" max="5100" width="6.28515625" style="72" customWidth="1"/>
    <col min="5101" max="5102" width="8.7109375" style="72" customWidth="1"/>
    <col min="5103" max="5103" width="9.140625" style="72" customWidth="1"/>
    <col min="5104" max="5104" width="8.5703125" style="72" customWidth="1"/>
    <col min="5105" max="5106" width="9.42578125" style="72" customWidth="1"/>
    <col min="5107" max="5107" width="10" style="72" customWidth="1"/>
    <col min="5108" max="5353" width="9" style="72"/>
    <col min="5354" max="5354" width="3.85546875" style="72" customWidth="1"/>
    <col min="5355" max="5355" width="78.5703125" style="72" customWidth="1"/>
    <col min="5356" max="5356" width="6.28515625" style="72" customWidth="1"/>
    <col min="5357" max="5358" width="8.7109375" style="72" customWidth="1"/>
    <col min="5359" max="5359" width="9.140625" style="72" customWidth="1"/>
    <col min="5360" max="5360" width="8.5703125" style="72" customWidth="1"/>
    <col min="5361" max="5362" width="9.42578125" style="72" customWidth="1"/>
    <col min="5363" max="5363" width="10" style="72" customWidth="1"/>
    <col min="5364" max="5609" width="9" style="72"/>
    <col min="5610" max="5610" width="3.85546875" style="72" customWidth="1"/>
    <col min="5611" max="5611" width="78.5703125" style="72" customWidth="1"/>
    <col min="5612" max="5612" width="6.28515625" style="72" customWidth="1"/>
    <col min="5613" max="5614" width="8.7109375" style="72" customWidth="1"/>
    <col min="5615" max="5615" width="9.140625" style="72" customWidth="1"/>
    <col min="5616" max="5616" width="8.5703125" style="72" customWidth="1"/>
    <col min="5617" max="5618" width="9.42578125" style="72" customWidth="1"/>
    <col min="5619" max="5619" width="10" style="72" customWidth="1"/>
    <col min="5620" max="5865" width="9" style="72"/>
    <col min="5866" max="5866" width="3.85546875" style="72" customWidth="1"/>
    <col min="5867" max="5867" width="78.5703125" style="72" customWidth="1"/>
    <col min="5868" max="5868" width="6.28515625" style="72" customWidth="1"/>
    <col min="5869" max="5870" width="8.7109375" style="72" customWidth="1"/>
    <col min="5871" max="5871" width="9.140625" style="72" customWidth="1"/>
    <col min="5872" max="5872" width="8.5703125" style="72" customWidth="1"/>
    <col min="5873" max="5874" width="9.42578125" style="72" customWidth="1"/>
    <col min="5875" max="5875" width="10" style="72" customWidth="1"/>
    <col min="5876" max="6121" width="9" style="72"/>
    <col min="6122" max="6122" width="3.85546875" style="72" customWidth="1"/>
    <col min="6123" max="6123" width="78.5703125" style="72" customWidth="1"/>
    <col min="6124" max="6124" width="6.28515625" style="72" customWidth="1"/>
    <col min="6125" max="6126" width="8.7109375" style="72" customWidth="1"/>
    <col min="6127" max="6127" width="9.140625" style="72" customWidth="1"/>
    <col min="6128" max="6128" width="8.5703125" style="72" customWidth="1"/>
    <col min="6129" max="6130" width="9.42578125" style="72" customWidth="1"/>
    <col min="6131" max="6131" width="10" style="72" customWidth="1"/>
    <col min="6132" max="6377" width="9" style="72"/>
    <col min="6378" max="6378" width="3.85546875" style="72" customWidth="1"/>
    <col min="6379" max="6379" width="78.5703125" style="72" customWidth="1"/>
    <col min="6380" max="6380" width="6.28515625" style="72" customWidth="1"/>
    <col min="6381" max="6382" width="8.7109375" style="72" customWidth="1"/>
    <col min="6383" max="6383" width="9.140625" style="72" customWidth="1"/>
    <col min="6384" max="6384" width="8.5703125" style="72" customWidth="1"/>
    <col min="6385" max="6386" width="9.42578125" style="72" customWidth="1"/>
    <col min="6387" max="6387" width="10" style="72" customWidth="1"/>
    <col min="6388" max="6633" width="9" style="72"/>
    <col min="6634" max="6634" width="3.85546875" style="72" customWidth="1"/>
    <col min="6635" max="6635" width="78.5703125" style="72" customWidth="1"/>
    <col min="6636" max="6636" width="6.28515625" style="72" customWidth="1"/>
    <col min="6637" max="6638" width="8.7109375" style="72" customWidth="1"/>
    <col min="6639" max="6639" width="9.140625" style="72" customWidth="1"/>
    <col min="6640" max="6640" width="8.5703125" style="72" customWidth="1"/>
    <col min="6641" max="6642" width="9.42578125" style="72" customWidth="1"/>
    <col min="6643" max="6643" width="10" style="72" customWidth="1"/>
    <col min="6644" max="6889" width="9" style="72"/>
    <col min="6890" max="6890" width="3.85546875" style="72" customWidth="1"/>
    <col min="6891" max="6891" width="78.5703125" style="72" customWidth="1"/>
    <col min="6892" max="6892" width="6.28515625" style="72" customWidth="1"/>
    <col min="6893" max="6894" width="8.7109375" style="72" customWidth="1"/>
    <col min="6895" max="6895" width="9.140625" style="72" customWidth="1"/>
    <col min="6896" max="6896" width="8.5703125" style="72" customWidth="1"/>
    <col min="6897" max="6898" width="9.42578125" style="72" customWidth="1"/>
    <col min="6899" max="6899" width="10" style="72" customWidth="1"/>
    <col min="6900" max="7145" width="9" style="72"/>
    <col min="7146" max="7146" width="3.85546875" style="72" customWidth="1"/>
    <col min="7147" max="7147" width="78.5703125" style="72" customWidth="1"/>
    <col min="7148" max="7148" width="6.28515625" style="72" customWidth="1"/>
    <col min="7149" max="7150" width="8.7109375" style="72" customWidth="1"/>
    <col min="7151" max="7151" width="9.140625" style="72" customWidth="1"/>
    <col min="7152" max="7152" width="8.5703125" style="72" customWidth="1"/>
    <col min="7153" max="7154" width="9.42578125" style="72" customWidth="1"/>
    <col min="7155" max="7155" width="10" style="72" customWidth="1"/>
    <col min="7156" max="7401" width="9" style="72"/>
    <col min="7402" max="7402" width="3.85546875" style="72" customWidth="1"/>
    <col min="7403" max="7403" width="78.5703125" style="72" customWidth="1"/>
    <col min="7404" max="7404" width="6.28515625" style="72" customWidth="1"/>
    <col min="7405" max="7406" width="8.7109375" style="72" customWidth="1"/>
    <col min="7407" max="7407" width="9.140625" style="72" customWidth="1"/>
    <col min="7408" max="7408" width="8.5703125" style="72" customWidth="1"/>
    <col min="7409" max="7410" width="9.42578125" style="72" customWidth="1"/>
    <col min="7411" max="7411" width="10" style="72" customWidth="1"/>
    <col min="7412" max="7657" width="9" style="72"/>
    <col min="7658" max="7658" width="3.85546875" style="72" customWidth="1"/>
    <col min="7659" max="7659" width="78.5703125" style="72" customWidth="1"/>
    <col min="7660" max="7660" width="6.28515625" style="72" customWidth="1"/>
    <col min="7661" max="7662" width="8.7109375" style="72" customWidth="1"/>
    <col min="7663" max="7663" width="9.140625" style="72" customWidth="1"/>
    <col min="7664" max="7664" width="8.5703125" style="72" customWidth="1"/>
    <col min="7665" max="7666" width="9.42578125" style="72" customWidth="1"/>
    <col min="7667" max="7667" width="10" style="72" customWidth="1"/>
    <col min="7668" max="7913" width="9" style="72"/>
    <col min="7914" max="7914" width="3.85546875" style="72" customWidth="1"/>
    <col min="7915" max="7915" width="78.5703125" style="72" customWidth="1"/>
    <col min="7916" max="7916" width="6.28515625" style="72" customWidth="1"/>
    <col min="7917" max="7918" width="8.7109375" style="72" customWidth="1"/>
    <col min="7919" max="7919" width="9.140625" style="72" customWidth="1"/>
    <col min="7920" max="7920" width="8.5703125" style="72" customWidth="1"/>
    <col min="7921" max="7922" width="9.42578125" style="72" customWidth="1"/>
    <col min="7923" max="7923" width="10" style="72" customWidth="1"/>
    <col min="7924" max="8169" width="9" style="72"/>
    <col min="8170" max="8170" width="3.85546875" style="72" customWidth="1"/>
    <col min="8171" max="8171" width="78.5703125" style="72" customWidth="1"/>
    <col min="8172" max="8172" width="6.28515625" style="72" customWidth="1"/>
    <col min="8173" max="8174" width="8.7109375" style="72" customWidth="1"/>
    <col min="8175" max="8175" width="9.140625" style="72" customWidth="1"/>
    <col min="8176" max="8176" width="8.5703125" style="72" customWidth="1"/>
    <col min="8177" max="8178" width="9.42578125" style="72" customWidth="1"/>
    <col min="8179" max="8179" width="10" style="72" customWidth="1"/>
    <col min="8180" max="8425" width="9" style="72"/>
    <col min="8426" max="8426" width="3.85546875" style="72" customWidth="1"/>
    <col min="8427" max="8427" width="78.5703125" style="72" customWidth="1"/>
    <col min="8428" max="8428" width="6.28515625" style="72" customWidth="1"/>
    <col min="8429" max="8430" width="8.7109375" style="72" customWidth="1"/>
    <col min="8431" max="8431" width="9.140625" style="72" customWidth="1"/>
    <col min="8432" max="8432" width="8.5703125" style="72" customWidth="1"/>
    <col min="8433" max="8434" width="9.42578125" style="72" customWidth="1"/>
    <col min="8435" max="8435" width="10" style="72" customWidth="1"/>
    <col min="8436" max="8681" width="9" style="72"/>
    <col min="8682" max="8682" width="3.85546875" style="72" customWidth="1"/>
    <col min="8683" max="8683" width="78.5703125" style="72" customWidth="1"/>
    <col min="8684" max="8684" width="6.28515625" style="72" customWidth="1"/>
    <col min="8685" max="8686" width="8.7109375" style="72" customWidth="1"/>
    <col min="8687" max="8687" width="9.140625" style="72" customWidth="1"/>
    <col min="8688" max="8688" width="8.5703125" style="72" customWidth="1"/>
    <col min="8689" max="8690" width="9.42578125" style="72" customWidth="1"/>
    <col min="8691" max="8691" width="10" style="72" customWidth="1"/>
    <col min="8692" max="8937" width="9" style="72"/>
    <col min="8938" max="8938" width="3.85546875" style="72" customWidth="1"/>
    <col min="8939" max="8939" width="78.5703125" style="72" customWidth="1"/>
    <col min="8940" max="8940" width="6.28515625" style="72" customWidth="1"/>
    <col min="8941" max="8942" width="8.7109375" style="72" customWidth="1"/>
    <col min="8943" max="8943" width="9.140625" style="72" customWidth="1"/>
    <col min="8944" max="8944" width="8.5703125" style="72" customWidth="1"/>
    <col min="8945" max="8946" width="9.42578125" style="72" customWidth="1"/>
    <col min="8947" max="8947" width="10" style="72" customWidth="1"/>
    <col min="8948" max="9193" width="9" style="72"/>
    <col min="9194" max="9194" width="3.85546875" style="72" customWidth="1"/>
    <col min="9195" max="9195" width="78.5703125" style="72" customWidth="1"/>
    <col min="9196" max="9196" width="6.28515625" style="72" customWidth="1"/>
    <col min="9197" max="9198" width="8.7109375" style="72" customWidth="1"/>
    <col min="9199" max="9199" width="9.140625" style="72" customWidth="1"/>
    <col min="9200" max="9200" width="8.5703125" style="72" customWidth="1"/>
    <col min="9201" max="9202" width="9.42578125" style="72" customWidth="1"/>
    <col min="9203" max="9203" width="10" style="72" customWidth="1"/>
    <col min="9204" max="9449" width="9" style="72"/>
    <col min="9450" max="9450" width="3.85546875" style="72" customWidth="1"/>
    <col min="9451" max="9451" width="78.5703125" style="72" customWidth="1"/>
    <col min="9452" max="9452" width="6.28515625" style="72" customWidth="1"/>
    <col min="9453" max="9454" width="8.7109375" style="72" customWidth="1"/>
    <col min="9455" max="9455" width="9.140625" style="72" customWidth="1"/>
    <col min="9456" max="9456" width="8.5703125" style="72" customWidth="1"/>
    <col min="9457" max="9458" width="9.42578125" style="72" customWidth="1"/>
    <col min="9459" max="9459" width="10" style="72" customWidth="1"/>
    <col min="9460" max="9705" width="9" style="72"/>
    <col min="9706" max="9706" width="3.85546875" style="72" customWidth="1"/>
    <col min="9707" max="9707" width="78.5703125" style="72" customWidth="1"/>
    <col min="9708" max="9708" width="6.28515625" style="72" customWidth="1"/>
    <col min="9709" max="9710" width="8.7109375" style="72" customWidth="1"/>
    <col min="9711" max="9711" width="9.140625" style="72" customWidth="1"/>
    <col min="9712" max="9712" width="8.5703125" style="72" customWidth="1"/>
    <col min="9713" max="9714" width="9.42578125" style="72" customWidth="1"/>
    <col min="9715" max="9715" width="10" style="72" customWidth="1"/>
    <col min="9716" max="9961" width="9" style="72"/>
    <col min="9962" max="9962" width="3.85546875" style="72" customWidth="1"/>
    <col min="9963" max="9963" width="78.5703125" style="72" customWidth="1"/>
    <col min="9964" max="9964" width="6.28515625" style="72" customWidth="1"/>
    <col min="9965" max="9966" width="8.7109375" style="72" customWidth="1"/>
    <col min="9967" max="9967" width="9.140625" style="72" customWidth="1"/>
    <col min="9968" max="9968" width="8.5703125" style="72" customWidth="1"/>
    <col min="9969" max="9970" width="9.42578125" style="72" customWidth="1"/>
    <col min="9971" max="9971" width="10" style="72" customWidth="1"/>
    <col min="9972" max="10217" width="9" style="72"/>
    <col min="10218" max="10218" width="3.85546875" style="72" customWidth="1"/>
    <col min="10219" max="10219" width="78.5703125" style="72" customWidth="1"/>
    <col min="10220" max="10220" width="6.28515625" style="72" customWidth="1"/>
    <col min="10221" max="10222" width="8.7109375" style="72" customWidth="1"/>
    <col min="10223" max="10223" width="9.140625" style="72" customWidth="1"/>
    <col min="10224" max="10224" width="8.5703125" style="72" customWidth="1"/>
    <col min="10225" max="10226" width="9.42578125" style="72" customWidth="1"/>
    <col min="10227" max="10227" width="10" style="72" customWidth="1"/>
    <col min="10228" max="10473" width="9" style="72"/>
    <col min="10474" max="10474" width="3.85546875" style="72" customWidth="1"/>
    <col min="10475" max="10475" width="78.5703125" style="72" customWidth="1"/>
    <col min="10476" max="10476" width="6.28515625" style="72" customWidth="1"/>
    <col min="10477" max="10478" width="8.7109375" style="72" customWidth="1"/>
    <col min="10479" max="10479" width="9.140625" style="72" customWidth="1"/>
    <col min="10480" max="10480" width="8.5703125" style="72" customWidth="1"/>
    <col min="10481" max="10482" width="9.42578125" style="72" customWidth="1"/>
    <col min="10483" max="10483" width="10" style="72" customWidth="1"/>
    <col min="10484" max="10729" width="9" style="72"/>
    <col min="10730" max="10730" width="3.85546875" style="72" customWidth="1"/>
    <col min="10731" max="10731" width="78.5703125" style="72" customWidth="1"/>
    <col min="10732" max="10732" width="6.28515625" style="72" customWidth="1"/>
    <col min="10733" max="10734" width="8.7109375" style="72" customWidth="1"/>
    <col min="10735" max="10735" width="9.140625" style="72" customWidth="1"/>
    <col min="10736" max="10736" width="8.5703125" style="72" customWidth="1"/>
    <col min="10737" max="10738" width="9.42578125" style="72" customWidth="1"/>
    <col min="10739" max="10739" width="10" style="72" customWidth="1"/>
    <col min="10740" max="10985" width="9" style="72"/>
    <col min="10986" max="10986" width="3.85546875" style="72" customWidth="1"/>
    <col min="10987" max="10987" width="78.5703125" style="72" customWidth="1"/>
    <col min="10988" max="10988" width="6.28515625" style="72" customWidth="1"/>
    <col min="10989" max="10990" width="8.7109375" style="72" customWidth="1"/>
    <col min="10991" max="10991" width="9.140625" style="72" customWidth="1"/>
    <col min="10992" max="10992" width="8.5703125" style="72" customWidth="1"/>
    <col min="10993" max="10994" width="9.42578125" style="72" customWidth="1"/>
    <col min="10995" max="10995" width="10" style="72" customWidth="1"/>
    <col min="10996" max="11241" width="9" style="72"/>
    <col min="11242" max="11242" width="3.85546875" style="72" customWidth="1"/>
    <col min="11243" max="11243" width="78.5703125" style="72" customWidth="1"/>
    <col min="11244" max="11244" width="6.28515625" style="72" customWidth="1"/>
    <col min="11245" max="11246" width="8.7109375" style="72" customWidth="1"/>
    <col min="11247" max="11247" width="9.140625" style="72" customWidth="1"/>
    <col min="11248" max="11248" width="8.5703125" style="72" customWidth="1"/>
    <col min="11249" max="11250" width="9.42578125" style="72" customWidth="1"/>
    <col min="11251" max="11251" width="10" style="72" customWidth="1"/>
    <col min="11252" max="11497" width="9" style="72"/>
    <col min="11498" max="11498" width="3.85546875" style="72" customWidth="1"/>
    <col min="11499" max="11499" width="78.5703125" style="72" customWidth="1"/>
    <col min="11500" max="11500" width="6.28515625" style="72" customWidth="1"/>
    <col min="11501" max="11502" width="8.7109375" style="72" customWidth="1"/>
    <col min="11503" max="11503" width="9.140625" style="72" customWidth="1"/>
    <col min="11504" max="11504" width="8.5703125" style="72" customWidth="1"/>
    <col min="11505" max="11506" width="9.42578125" style="72" customWidth="1"/>
    <col min="11507" max="11507" width="10" style="72" customWidth="1"/>
    <col min="11508" max="11753" width="9" style="72"/>
    <col min="11754" max="11754" width="3.85546875" style="72" customWidth="1"/>
    <col min="11755" max="11755" width="78.5703125" style="72" customWidth="1"/>
    <col min="11756" max="11756" width="6.28515625" style="72" customWidth="1"/>
    <col min="11757" max="11758" width="8.7109375" style="72" customWidth="1"/>
    <col min="11759" max="11759" width="9.140625" style="72" customWidth="1"/>
    <col min="11760" max="11760" width="8.5703125" style="72" customWidth="1"/>
    <col min="11761" max="11762" width="9.42578125" style="72" customWidth="1"/>
    <col min="11763" max="11763" width="10" style="72" customWidth="1"/>
    <col min="11764" max="12009" width="9" style="72"/>
    <col min="12010" max="12010" width="3.85546875" style="72" customWidth="1"/>
    <col min="12011" max="12011" width="78.5703125" style="72" customWidth="1"/>
    <col min="12012" max="12012" width="6.28515625" style="72" customWidth="1"/>
    <col min="12013" max="12014" width="8.7109375" style="72" customWidth="1"/>
    <col min="12015" max="12015" width="9.140625" style="72" customWidth="1"/>
    <col min="12016" max="12016" width="8.5703125" style="72" customWidth="1"/>
    <col min="12017" max="12018" width="9.42578125" style="72" customWidth="1"/>
    <col min="12019" max="12019" width="10" style="72" customWidth="1"/>
    <col min="12020" max="12265" width="9" style="72"/>
    <col min="12266" max="12266" width="3.85546875" style="72" customWidth="1"/>
    <col min="12267" max="12267" width="78.5703125" style="72" customWidth="1"/>
    <col min="12268" max="12268" width="6.28515625" style="72" customWidth="1"/>
    <col min="12269" max="12270" width="8.7109375" style="72" customWidth="1"/>
    <col min="12271" max="12271" width="9.140625" style="72" customWidth="1"/>
    <col min="12272" max="12272" width="8.5703125" style="72" customWidth="1"/>
    <col min="12273" max="12274" width="9.42578125" style="72" customWidth="1"/>
    <col min="12275" max="12275" width="10" style="72" customWidth="1"/>
    <col min="12276" max="12521" width="9" style="72"/>
    <col min="12522" max="12522" width="3.85546875" style="72" customWidth="1"/>
    <col min="12523" max="12523" width="78.5703125" style="72" customWidth="1"/>
    <col min="12524" max="12524" width="6.28515625" style="72" customWidth="1"/>
    <col min="12525" max="12526" width="8.7109375" style="72" customWidth="1"/>
    <col min="12527" max="12527" width="9.140625" style="72" customWidth="1"/>
    <col min="12528" max="12528" width="8.5703125" style="72" customWidth="1"/>
    <col min="12529" max="12530" width="9.42578125" style="72" customWidth="1"/>
    <col min="12531" max="12531" width="10" style="72" customWidth="1"/>
    <col min="12532" max="12777" width="9" style="72"/>
    <col min="12778" max="12778" width="3.85546875" style="72" customWidth="1"/>
    <col min="12779" max="12779" width="78.5703125" style="72" customWidth="1"/>
    <col min="12780" max="12780" width="6.28515625" style="72" customWidth="1"/>
    <col min="12781" max="12782" width="8.7109375" style="72" customWidth="1"/>
    <col min="12783" max="12783" width="9.140625" style="72" customWidth="1"/>
    <col min="12784" max="12784" width="8.5703125" style="72" customWidth="1"/>
    <col min="12785" max="12786" width="9.42578125" style="72" customWidth="1"/>
    <col min="12787" max="12787" width="10" style="72" customWidth="1"/>
    <col min="12788" max="13033" width="9" style="72"/>
    <col min="13034" max="13034" width="3.85546875" style="72" customWidth="1"/>
    <col min="13035" max="13035" width="78.5703125" style="72" customWidth="1"/>
    <col min="13036" max="13036" width="6.28515625" style="72" customWidth="1"/>
    <col min="13037" max="13038" width="8.7109375" style="72" customWidth="1"/>
    <col min="13039" max="13039" width="9.140625" style="72" customWidth="1"/>
    <col min="13040" max="13040" width="8.5703125" style="72" customWidth="1"/>
    <col min="13041" max="13042" width="9.42578125" style="72" customWidth="1"/>
    <col min="13043" max="13043" width="10" style="72" customWidth="1"/>
    <col min="13044" max="13289" width="9" style="72"/>
    <col min="13290" max="13290" width="3.85546875" style="72" customWidth="1"/>
    <col min="13291" max="13291" width="78.5703125" style="72" customWidth="1"/>
    <col min="13292" max="13292" width="6.28515625" style="72" customWidth="1"/>
    <col min="13293" max="13294" width="8.7109375" style="72" customWidth="1"/>
    <col min="13295" max="13295" width="9.140625" style="72" customWidth="1"/>
    <col min="13296" max="13296" width="8.5703125" style="72" customWidth="1"/>
    <col min="13297" max="13298" width="9.42578125" style="72" customWidth="1"/>
    <col min="13299" max="13299" width="10" style="72" customWidth="1"/>
    <col min="13300" max="13545" width="9" style="72"/>
    <col min="13546" max="13546" width="3.85546875" style="72" customWidth="1"/>
    <col min="13547" max="13547" width="78.5703125" style="72" customWidth="1"/>
    <col min="13548" max="13548" width="6.28515625" style="72" customWidth="1"/>
    <col min="13549" max="13550" width="8.7109375" style="72" customWidth="1"/>
    <col min="13551" max="13551" width="9.140625" style="72" customWidth="1"/>
    <col min="13552" max="13552" width="8.5703125" style="72" customWidth="1"/>
    <col min="13553" max="13554" width="9.42578125" style="72" customWidth="1"/>
    <col min="13555" max="13555" width="10" style="72" customWidth="1"/>
    <col min="13556" max="13801" width="9" style="72"/>
    <col min="13802" max="13802" width="3.85546875" style="72" customWidth="1"/>
    <col min="13803" max="13803" width="78.5703125" style="72" customWidth="1"/>
    <col min="13804" max="13804" width="6.28515625" style="72" customWidth="1"/>
    <col min="13805" max="13806" width="8.7109375" style="72" customWidth="1"/>
    <col min="13807" max="13807" width="9.140625" style="72" customWidth="1"/>
    <col min="13808" max="13808" width="8.5703125" style="72" customWidth="1"/>
    <col min="13809" max="13810" width="9.42578125" style="72" customWidth="1"/>
    <col min="13811" max="13811" width="10" style="72" customWidth="1"/>
    <col min="13812" max="14057" width="9" style="72"/>
    <col min="14058" max="14058" width="3.85546875" style="72" customWidth="1"/>
    <col min="14059" max="14059" width="78.5703125" style="72" customWidth="1"/>
    <col min="14060" max="14060" width="6.28515625" style="72" customWidth="1"/>
    <col min="14061" max="14062" width="8.7109375" style="72" customWidth="1"/>
    <col min="14063" max="14063" width="9.140625" style="72" customWidth="1"/>
    <col min="14064" max="14064" width="8.5703125" style="72" customWidth="1"/>
    <col min="14065" max="14066" width="9.42578125" style="72" customWidth="1"/>
    <col min="14067" max="14067" width="10" style="72" customWidth="1"/>
    <col min="14068" max="14313" width="9" style="72"/>
    <col min="14314" max="14314" width="3.85546875" style="72" customWidth="1"/>
    <col min="14315" max="14315" width="78.5703125" style="72" customWidth="1"/>
    <col min="14316" max="14316" width="6.28515625" style="72" customWidth="1"/>
    <col min="14317" max="14318" width="8.7109375" style="72" customWidth="1"/>
    <col min="14319" max="14319" width="9.140625" style="72" customWidth="1"/>
    <col min="14320" max="14320" width="8.5703125" style="72" customWidth="1"/>
    <col min="14321" max="14322" width="9.42578125" style="72" customWidth="1"/>
    <col min="14323" max="14323" width="10" style="72" customWidth="1"/>
    <col min="14324" max="14569" width="9" style="72"/>
    <col min="14570" max="14570" width="3.85546875" style="72" customWidth="1"/>
    <col min="14571" max="14571" width="78.5703125" style="72" customWidth="1"/>
    <col min="14572" max="14572" width="6.28515625" style="72" customWidth="1"/>
    <col min="14573" max="14574" width="8.7109375" style="72" customWidth="1"/>
    <col min="14575" max="14575" width="9.140625" style="72" customWidth="1"/>
    <col min="14576" max="14576" width="8.5703125" style="72" customWidth="1"/>
    <col min="14577" max="14578" width="9.42578125" style="72" customWidth="1"/>
    <col min="14579" max="14579" width="10" style="72" customWidth="1"/>
    <col min="14580" max="14825" width="9" style="72"/>
    <col min="14826" max="14826" width="3.85546875" style="72" customWidth="1"/>
    <col min="14827" max="14827" width="78.5703125" style="72" customWidth="1"/>
    <col min="14828" max="14828" width="6.28515625" style="72" customWidth="1"/>
    <col min="14829" max="14830" width="8.7109375" style="72" customWidth="1"/>
    <col min="14831" max="14831" width="9.140625" style="72" customWidth="1"/>
    <col min="14832" max="14832" width="8.5703125" style="72" customWidth="1"/>
    <col min="14833" max="14834" width="9.42578125" style="72" customWidth="1"/>
    <col min="14835" max="14835" width="10" style="72" customWidth="1"/>
    <col min="14836" max="15081" width="9" style="72"/>
    <col min="15082" max="15082" width="3.85546875" style="72" customWidth="1"/>
    <col min="15083" max="15083" width="78.5703125" style="72" customWidth="1"/>
    <col min="15084" max="15084" width="6.28515625" style="72" customWidth="1"/>
    <col min="15085" max="15086" width="8.7109375" style="72" customWidth="1"/>
    <col min="15087" max="15087" width="9.140625" style="72" customWidth="1"/>
    <col min="15088" max="15088" width="8.5703125" style="72" customWidth="1"/>
    <col min="15089" max="15090" width="9.42578125" style="72" customWidth="1"/>
    <col min="15091" max="15091" width="10" style="72" customWidth="1"/>
    <col min="15092" max="15337" width="9" style="72"/>
    <col min="15338" max="15338" width="3.85546875" style="72" customWidth="1"/>
    <col min="15339" max="15339" width="78.5703125" style="72" customWidth="1"/>
    <col min="15340" max="15340" width="6.28515625" style="72" customWidth="1"/>
    <col min="15341" max="15342" width="8.7109375" style="72" customWidth="1"/>
    <col min="15343" max="15343" width="9.140625" style="72" customWidth="1"/>
    <col min="15344" max="15344" width="8.5703125" style="72" customWidth="1"/>
    <col min="15345" max="15346" width="9.42578125" style="72" customWidth="1"/>
    <col min="15347" max="15347" width="10" style="72" customWidth="1"/>
    <col min="15348" max="15593" width="9" style="72"/>
    <col min="15594" max="15594" width="3.85546875" style="72" customWidth="1"/>
    <col min="15595" max="15595" width="78.5703125" style="72" customWidth="1"/>
    <col min="15596" max="15596" width="6.28515625" style="72" customWidth="1"/>
    <col min="15597" max="15598" width="8.7109375" style="72" customWidth="1"/>
    <col min="15599" max="15599" width="9.140625" style="72" customWidth="1"/>
    <col min="15600" max="15600" width="8.5703125" style="72" customWidth="1"/>
    <col min="15601" max="15602" width="9.42578125" style="72" customWidth="1"/>
    <col min="15603" max="15603" width="10" style="72" customWidth="1"/>
    <col min="15604" max="15849" width="9" style="72"/>
    <col min="15850" max="15850" width="3.85546875" style="72" customWidth="1"/>
    <col min="15851" max="15851" width="78.5703125" style="72" customWidth="1"/>
    <col min="15852" max="15852" width="6.28515625" style="72" customWidth="1"/>
    <col min="15853" max="15854" width="8.7109375" style="72" customWidth="1"/>
    <col min="15855" max="15855" width="9.140625" style="72" customWidth="1"/>
    <col min="15856" max="15856" width="8.5703125" style="72" customWidth="1"/>
    <col min="15857" max="15858" width="9.42578125" style="72" customWidth="1"/>
    <col min="15859" max="15859" width="10" style="72" customWidth="1"/>
    <col min="15860" max="16105" width="9" style="72"/>
    <col min="16106" max="16106" width="3.85546875" style="72" customWidth="1"/>
    <col min="16107" max="16107" width="78.5703125" style="72" customWidth="1"/>
    <col min="16108" max="16108" width="6.28515625" style="72" customWidth="1"/>
    <col min="16109" max="16110" width="8.7109375" style="72" customWidth="1"/>
    <col min="16111" max="16111" width="9.140625" style="72" customWidth="1"/>
    <col min="16112" max="16112" width="8.5703125" style="72" customWidth="1"/>
    <col min="16113" max="16114" width="9.42578125" style="72" customWidth="1"/>
    <col min="16115" max="16115" width="10" style="72" customWidth="1"/>
    <col min="16116" max="16384" width="9" style="72"/>
  </cols>
  <sheetData>
    <row r="1" spans="1:40" s="34" customFormat="1" ht="16.899999999999999" customHeight="1">
      <c r="A1" s="408" t="s">
        <v>449</v>
      </c>
      <c r="B1" s="409"/>
      <c r="C1" s="409"/>
      <c r="E1" s="36"/>
      <c r="F1" s="36"/>
      <c r="G1" s="36"/>
      <c r="H1" s="36"/>
      <c r="I1" s="36"/>
      <c r="J1" s="36"/>
      <c r="K1" s="36"/>
      <c r="L1" s="36"/>
      <c r="M1" s="36"/>
      <c r="N1" s="36"/>
      <c r="Y1" s="35"/>
      <c r="Z1" s="36"/>
    </row>
    <row r="2" spans="1:40" s="38" customFormat="1" ht="23.25" customHeight="1">
      <c r="A2" s="410"/>
      <c r="B2" s="411"/>
      <c r="C2" s="407"/>
      <c r="E2" s="36"/>
      <c r="F2" s="36"/>
      <c r="G2" s="36"/>
      <c r="H2" s="36"/>
      <c r="I2" s="36"/>
      <c r="J2" s="36"/>
      <c r="K2" s="36"/>
      <c r="L2" s="36"/>
      <c r="M2" s="36"/>
      <c r="N2" s="36"/>
      <c r="X2" s="35"/>
      <c r="Y2" s="35"/>
      <c r="Z2" s="37"/>
    </row>
    <row r="3" spans="1:40" s="38" customFormat="1" ht="23.25" customHeight="1">
      <c r="A3" s="408" t="s">
        <v>450</v>
      </c>
      <c r="B3" s="411"/>
      <c r="C3" s="407"/>
      <c r="E3" s="36"/>
      <c r="F3" s="36"/>
      <c r="G3" s="36"/>
      <c r="H3" s="36"/>
      <c r="I3" s="36"/>
      <c r="J3" s="36"/>
      <c r="K3" s="36"/>
      <c r="L3" s="36"/>
      <c r="M3" s="36"/>
      <c r="N3" s="36"/>
      <c r="X3" s="40"/>
      <c r="Y3" s="35"/>
      <c r="Z3" s="37"/>
    </row>
    <row r="4" spans="1:40" s="38" customFormat="1" ht="23.25" customHeight="1">
      <c r="A4" s="410"/>
      <c r="B4" s="411"/>
      <c r="C4" s="412"/>
      <c r="E4" s="36"/>
      <c r="F4" s="36"/>
      <c r="G4" s="36"/>
      <c r="H4" s="36"/>
      <c r="I4" s="36"/>
      <c r="J4" s="36"/>
      <c r="K4" s="36"/>
      <c r="L4" s="36"/>
      <c r="M4" s="36"/>
      <c r="N4" s="36"/>
      <c r="X4" s="41"/>
      <c r="Y4" s="35"/>
      <c r="Z4" s="37"/>
    </row>
    <row r="5" spans="1:40" s="38" customFormat="1" ht="23.25" customHeight="1">
      <c r="A5" s="408" t="s">
        <v>451</v>
      </c>
      <c r="B5" s="411"/>
      <c r="C5" s="407"/>
      <c r="E5" s="36"/>
      <c r="F5" s="36"/>
      <c r="G5" s="36"/>
      <c r="H5" s="36"/>
      <c r="I5" s="36"/>
      <c r="J5" s="36"/>
      <c r="K5" s="36"/>
      <c r="L5" s="36"/>
      <c r="M5" s="36"/>
      <c r="N5" s="36"/>
      <c r="X5" s="40"/>
      <c r="Y5" s="35"/>
      <c r="Z5" s="37"/>
    </row>
    <row r="6" spans="1:40" s="38" customFormat="1" ht="23.25" customHeight="1">
      <c r="E6" s="36"/>
      <c r="F6" s="36"/>
      <c r="G6" s="36"/>
      <c r="H6" s="36"/>
      <c r="I6" s="36"/>
      <c r="J6" s="36"/>
      <c r="K6" s="36"/>
      <c r="L6" s="36"/>
      <c r="M6" s="36"/>
      <c r="N6" s="36"/>
      <c r="X6" s="35"/>
      <c r="Y6" s="35"/>
      <c r="Z6" s="37"/>
    </row>
    <row r="7" spans="1:40" s="42" customFormat="1" ht="30" customHeight="1">
      <c r="A7" s="481" t="s">
        <v>594</v>
      </c>
      <c r="B7" s="481"/>
      <c r="C7" s="481"/>
      <c r="D7" s="481"/>
      <c r="E7" s="481"/>
      <c r="F7" s="481"/>
      <c r="G7" s="481"/>
      <c r="H7" s="481"/>
      <c r="I7" s="481"/>
      <c r="J7" s="481"/>
      <c r="K7" s="481"/>
      <c r="L7" s="481"/>
      <c r="M7" s="481"/>
      <c r="N7" s="481"/>
      <c r="O7" s="481"/>
      <c r="P7" s="481"/>
      <c r="Q7" s="481"/>
      <c r="R7" s="481"/>
      <c r="S7" s="481"/>
      <c r="T7" s="481"/>
      <c r="U7" s="481"/>
      <c r="V7" s="481"/>
      <c r="X7" s="43"/>
    </row>
    <row r="8" spans="1:40" s="42" customFormat="1" ht="30" customHeight="1">
      <c r="A8" s="482" t="s">
        <v>107</v>
      </c>
      <c r="B8" s="482"/>
      <c r="C8" s="482"/>
      <c r="D8" s="482"/>
      <c r="E8" s="482"/>
      <c r="F8" s="482"/>
      <c r="G8" s="482"/>
      <c r="H8" s="482"/>
      <c r="I8" s="482"/>
      <c r="J8" s="482"/>
      <c r="K8" s="482"/>
      <c r="L8" s="482"/>
      <c r="M8" s="482"/>
      <c r="N8" s="482"/>
      <c r="O8" s="482"/>
      <c r="P8" s="482"/>
      <c r="Q8" s="482"/>
      <c r="R8" s="482"/>
      <c r="S8" s="482"/>
      <c r="T8" s="482"/>
      <c r="U8" s="482"/>
      <c r="V8" s="482"/>
      <c r="X8" s="43"/>
    </row>
    <row r="9" spans="1:40" s="44" customFormat="1" ht="74.25" customHeight="1">
      <c r="A9" s="483" t="s">
        <v>93</v>
      </c>
      <c r="B9" s="483"/>
      <c r="C9" s="483"/>
      <c r="D9" s="483"/>
      <c r="E9" s="483"/>
      <c r="F9" s="483"/>
      <c r="G9" s="483"/>
      <c r="H9" s="483"/>
      <c r="I9" s="483"/>
      <c r="J9" s="483"/>
      <c r="K9" s="483"/>
      <c r="L9" s="483"/>
      <c r="M9" s="483"/>
      <c r="N9" s="483"/>
      <c r="O9" s="483"/>
      <c r="P9" s="483"/>
      <c r="Q9" s="483"/>
      <c r="R9" s="483"/>
      <c r="S9" s="483"/>
      <c r="T9" s="483"/>
      <c r="U9" s="483"/>
      <c r="V9" s="483"/>
      <c r="X9" s="45"/>
    </row>
    <row r="10" spans="1:40" s="47" customFormat="1" ht="24.75" customHeight="1">
      <c r="A10" s="46"/>
      <c r="B10" s="1" t="s">
        <v>8</v>
      </c>
      <c r="E10" s="48"/>
      <c r="F10" s="48"/>
      <c r="G10" s="48"/>
      <c r="H10" s="48"/>
      <c r="I10" s="48"/>
      <c r="J10" s="48"/>
      <c r="K10" s="48"/>
      <c r="L10" s="48"/>
      <c r="M10" s="48"/>
      <c r="N10" s="48"/>
      <c r="O10" s="48"/>
      <c r="P10" s="49"/>
      <c r="Q10" s="49"/>
      <c r="R10" s="49"/>
      <c r="S10" s="49"/>
      <c r="T10" s="49"/>
      <c r="U10" s="49"/>
      <c r="W10" s="50"/>
      <c r="X10" s="51"/>
      <c r="Y10" s="50"/>
      <c r="Z10" s="50"/>
      <c r="AA10" s="50"/>
      <c r="AB10" s="50"/>
      <c r="AC10" s="50"/>
      <c r="AD10" s="50"/>
      <c r="AE10" s="50"/>
      <c r="AF10" s="50"/>
      <c r="AG10" s="50"/>
      <c r="AH10" s="50"/>
      <c r="AI10" s="50"/>
      <c r="AJ10" s="50"/>
      <c r="AK10" s="50"/>
      <c r="AL10" s="50"/>
      <c r="AM10" s="50"/>
      <c r="AN10" s="50"/>
    </row>
    <row r="11" spans="1:40" s="38" customFormat="1" ht="47.25" customHeight="1">
      <c r="A11" s="52"/>
      <c r="B11" s="53"/>
      <c r="C11" s="54"/>
      <c r="D11" s="54"/>
      <c r="E11" s="55"/>
      <c r="F11" s="55"/>
      <c r="G11" s="55"/>
      <c r="H11" s="56"/>
      <c r="I11" s="56"/>
      <c r="J11" s="56"/>
      <c r="K11" s="56"/>
      <c r="L11" s="56"/>
      <c r="M11" s="55"/>
      <c r="N11" s="55"/>
      <c r="O11" s="55"/>
      <c r="R11" s="57"/>
      <c r="S11" s="484" t="s">
        <v>452</v>
      </c>
      <c r="T11" s="485"/>
      <c r="U11" s="485"/>
      <c r="V11" s="485"/>
      <c r="X11" s="39"/>
    </row>
    <row r="12" spans="1:40" s="38" customFormat="1" ht="22.5" customHeight="1" thickBot="1">
      <c r="A12" s="52"/>
      <c r="B12" s="53"/>
      <c r="C12" s="54"/>
      <c r="D12" s="54"/>
      <c r="E12" s="55"/>
      <c r="F12" s="55"/>
      <c r="G12" s="55"/>
      <c r="H12" s="56"/>
      <c r="I12" s="56"/>
      <c r="J12" s="56"/>
      <c r="K12" s="56"/>
      <c r="L12" s="56"/>
      <c r="M12" s="55"/>
      <c r="N12" s="55"/>
      <c r="O12" s="55"/>
      <c r="R12" s="57"/>
      <c r="S12" s="57"/>
      <c r="T12" s="57"/>
      <c r="U12" s="57"/>
      <c r="V12" s="58" t="s">
        <v>94</v>
      </c>
      <c r="X12" s="39"/>
    </row>
    <row r="13" spans="1:40" s="59" customFormat="1" ht="33" customHeight="1">
      <c r="A13" s="487" t="s">
        <v>0</v>
      </c>
      <c r="B13" s="489" t="s">
        <v>11</v>
      </c>
      <c r="C13" s="491" t="s">
        <v>1</v>
      </c>
      <c r="D13" s="467" t="s">
        <v>33</v>
      </c>
      <c r="E13" s="489" t="s">
        <v>2</v>
      </c>
      <c r="F13" s="469" t="s">
        <v>95</v>
      </c>
      <c r="G13" s="470"/>
      <c r="H13" s="470"/>
      <c r="I13" s="470"/>
      <c r="J13" s="470"/>
      <c r="K13" s="494"/>
      <c r="L13" s="469" t="s">
        <v>96</v>
      </c>
      <c r="M13" s="470"/>
      <c r="N13" s="470"/>
      <c r="O13" s="471" t="s">
        <v>97</v>
      </c>
      <c r="P13" s="473" t="s">
        <v>9</v>
      </c>
      <c r="Q13" s="474"/>
      <c r="R13" s="475"/>
      <c r="S13" s="476" t="s">
        <v>10</v>
      </c>
      <c r="T13" s="477"/>
      <c r="U13" s="478"/>
      <c r="V13" s="479" t="s">
        <v>5</v>
      </c>
      <c r="X13" s="60"/>
    </row>
    <row r="14" spans="1:40" s="59" customFormat="1" ht="48" customHeight="1">
      <c r="A14" s="488"/>
      <c r="B14" s="490"/>
      <c r="C14" s="492"/>
      <c r="D14" s="468"/>
      <c r="E14" s="493"/>
      <c r="F14" s="61" t="s">
        <v>98</v>
      </c>
      <c r="G14" s="61" t="s">
        <v>99</v>
      </c>
      <c r="H14" s="61" t="s">
        <v>100</v>
      </c>
      <c r="I14" s="61" t="s">
        <v>101</v>
      </c>
      <c r="J14" s="61" t="s">
        <v>102</v>
      </c>
      <c r="K14" s="61" t="s">
        <v>103</v>
      </c>
      <c r="L14" s="61" t="s">
        <v>98</v>
      </c>
      <c r="M14" s="61" t="s">
        <v>99</v>
      </c>
      <c r="N14" s="145" t="s">
        <v>100</v>
      </c>
      <c r="O14" s="472"/>
      <c r="P14" s="94" t="s">
        <v>6</v>
      </c>
      <c r="Q14" s="62" t="s">
        <v>7</v>
      </c>
      <c r="R14" s="63" t="s">
        <v>3</v>
      </c>
      <c r="S14" s="64" t="s">
        <v>6</v>
      </c>
      <c r="T14" s="65" t="s">
        <v>7</v>
      </c>
      <c r="U14" s="63" t="s">
        <v>3</v>
      </c>
      <c r="V14" s="480"/>
      <c r="X14" s="60"/>
    </row>
    <row r="15" spans="1:40" s="59" customFormat="1" ht="18.75" customHeight="1">
      <c r="A15" s="166">
        <v>1</v>
      </c>
      <c r="B15" s="167">
        <v>2</v>
      </c>
      <c r="C15" s="168">
        <v>3</v>
      </c>
      <c r="D15" s="168"/>
      <c r="E15" s="169">
        <v>4</v>
      </c>
      <c r="F15" s="170"/>
      <c r="G15" s="169"/>
      <c r="H15" s="169"/>
      <c r="I15" s="169"/>
      <c r="J15" s="169"/>
      <c r="K15" s="169"/>
      <c r="L15" s="169"/>
      <c r="M15" s="169"/>
      <c r="N15" s="168"/>
      <c r="O15" s="171">
        <v>5</v>
      </c>
      <c r="P15" s="170">
        <v>6</v>
      </c>
      <c r="Q15" s="169">
        <v>7</v>
      </c>
      <c r="R15" s="172">
        <v>8</v>
      </c>
      <c r="S15" s="166">
        <v>9</v>
      </c>
      <c r="T15" s="170">
        <v>10</v>
      </c>
      <c r="U15" s="173">
        <v>11</v>
      </c>
      <c r="V15" s="171">
        <v>12</v>
      </c>
      <c r="X15" s="60"/>
    </row>
    <row r="16" spans="1:40" s="59" customFormat="1" ht="36" customHeight="1">
      <c r="A16" s="180" t="s">
        <v>13</v>
      </c>
      <c r="B16" s="174"/>
      <c r="C16" s="181" t="s">
        <v>95</v>
      </c>
      <c r="D16" s="181"/>
      <c r="E16" s="176"/>
      <c r="F16" s="175"/>
      <c r="G16" s="176"/>
      <c r="H16" s="176"/>
      <c r="I16" s="176"/>
      <c r="J16" s="176"/>
      <c r="K16" s="176"/>
      <c r="L16" s="176"/>
      <c r="M16" s="176"/>
      <c r="N16" s="177"/>
      <c r="O16" s="178"/>
      <c r="P16" s="175"/>
      <c r="Q16" s="176"/>
      <c r="R16" s="179"/>
      <c r="S16" s="285">
        <f>S17+S86+S193+S280+S369</f>
        <v>0</v>
      </c>
      <c r="T16" s="286">
        <f>T17+T86+T193+T280+T369</f>
        <v>0</v>
      </c>
      <c r="U16" s="287">
        <f>T16+S16</f>
        <v>0</v>
      </c>
      <c r="V16" s="178"/>
      <c r="X16" s="60"/>
    </row>
    <row r="17" spans="1:24" s="59" customFormat="1" ht="37.5" customHeight="1">
      <c r="A17" s="214">
        <v>1</v>
      </c>
      <c r="B17" s="215"/>
      <c r="C17" s="216" t="s">
        <v>104</v>
      </c>
      <c r="D17" s="216"/>
      <c r="E17" s="217"/>
      <c r="F17" s="217"/>
      <c r="G17" s="217"/>
      <c r="H17" s="217"/>
      <c r="I17" s="217"/>
      <c r="J17" s="217"/>
      <c r="K17" s="217"/>
      <c r="L17" s="217"/>
      <c r="M17" s="217"/>
      <c r="N17" s="218"/>
      <c r="O17" s="219"/>
      <c r="P17" s="220"/>
      <c r="Q17" s="221"/>
      <c r="R17" s="222"/>
      <c r="S17" s="223">
        <f>S18+S76</f>
        <v>0</v>
      </c>
      <c r="T17" s="224">
        <f>T18+T76</f>
        <v>0</v>
      </c>
      <c r="U17" s="225">
        <f>T17+S17</f>
        <v>0</v>
      </c>
      <c r="V17" s="288"/>
      <c r="X17" s="60"/>
    </row>
    <row r="18" spans="1:24" s="59" customFormat="1" ht="36" customHeight="1">
      <c r="A18" s="213" t="s">
        <v>12</v>
      </c>
      <c r="B18" s="80"/>
      <c r="C18" s="81" t="s">
        <v>106</v>
      </c>
      <c r="D18" s="93"/>
      <c r="E18" s="82"/>
      <c r="F18" s="83"/>
      <c r="G18" s="83"/>
      <c r="H18" s="83"/>
      <c r="I18" s="83"/>
      <c r="J18" s="83"/>
      <c r="K18" s="83"/>
      <c r="L18" s="83"/>
      <c r="M18" s="83"/>
      <c r="N18" s="146"/>
      <c r="O18" s="98"/>
      <c r="P18" s="95"/>
      <c r="Q18" s="84"/>
      <c r="R18" s="85"/>
      <c r="S18" s="226">
        <f>SUM(S19:S75)</f>
        <v>0</v>
      </c>
      <c r="T18" s="227">
        <f>SUM(T19:T75)</f>
        <v>0</v>
      </c>
      <c r="U18" s="212">
        <f>T18+S18</f>
        <v>0</v>
      </c>
      <c r="V18" s="289"/>
      <c r="X18" s="60"/>
    </row>
    <row r="19" spans="1:24" s="59" customFormat="1" ht="38.25" customHeight="1" outlineLevel="1">
      <c r="A19" s="66" t="s">
        <v>25</v>
      </c>
      <c r="B19" s="202"/>
      <c r="C19" s="89" t="s">
        <v>422</v>
      </c>
      <c r="D19" s="29"/>
      <c r="E19" s="100" t="s">
        <v>4</v>
      </c>
      <c r="F19" s="101">
        <f>F20</f>
        <v>4.8499999999999996</v>
      </c>
      <c r="G19" s="102">
        <f>G20</f>
        <v>3.4</v>
      </c>
      <c r="H19" s="102">
        <f>H20</f>
        <v>14.4</v>
      </c>
      <c r="I19" s="102"/>
      <c r="J19" s="102"/>
      <c r="K19" s="102"/>
      <c r="L19" s="102"/>
      <c r="M19" s="102"/>
      <c r="N19" s="121"/>
      <c r="O19" s="190">
        <f>SUM(F19:N19)</f>
        <v>22.65</v>
      </c>
      <c r="P19" s="182">
        <f>P20*O20/O19</f>
        <v>0</v>
      </c>
      <c r="Q19" s="183"/>
      <c r="R19" s="184">
        <f t="shared" ref="R19" si="0">P19+Q19</f>
        <v>0</v>
      </c>
      <c r="S19" s="182">
        <f>O19*P19</f>
        <v>0</v>
      </c>
      <c r="T19" s="185">
        <f>O19*Q19</f>
        <v>0</v>
      </c>
      <c r="U19" s="184">
        <f>S19+T19</f>
        <v>0</v>
      </c>
      <c r="V19" s="290" t="s">
        <v>109</v>
      </c>
      <c r="X19" s="60"/>
    </row>
    <row r="20" spans="1:24" s="59" customFormat="1" ht="39.75" customHeight="1" outlineLevel="1">
      <c r="A20" s="66" t="s">
        <v>87</v>
      </c>
      <c r="B20" s="203">
        <v>4100017642</v>
      </c>
      <c r="C20" s="157" t="s">
        <v>108</v>
      </c>
      <c r="D20" s="14"/>
      <c r="E20" s="15" t="s">
        <v>4</v>
      </c>
      <c r="F20" s="6">
        <v>4.8499999999999996</v>
      </c>
      <c r="G20" s="92">
        <v>3.4</v>
      </c>
      <c r="H20" s="92">
        <v>14.4</v>
      </c>
      <c r="I20" s="92"/>
      <c r="J20" s="92"/>
      <c r="K20" s="92"/>
      <c r="L20" s="92"/>
      <c r="M20" s="92"/>
      <c r="N20" s="122"/>
      <c r="O20" s="99">
        <f t="shared" ref="O20:O61" si="1">SUM(F20:N20)</f>
        <v>22.65</v>
      </c>
      <c r="P20" s="186"/>
      <c r="Q20" s="187"/>
      <c r="R20" s="184"/>
      <c r="S20" s="182"/>
      <c r="T20" s="185"/>
      <c r="U20" s="184"/>
      <c r="V20" s="397" t="s">
        <v>405</v>
      </c>
      <c r="X20" s="60"/>
    </row>
    <row r="21" spans="1:24" s="59" customFormat="1" ht="37.5" customHeight="1" outlineLevel="1">
      <c r="A21" s="66" t="s">
        <v>37</v>
      </c>
      <c r="B21" s="202"/>
      <c r="C21" s="3" t="s">
        <v>140</v>
      </c>
      <c r="D21" s="191"/>
      <c r="E21" s="103" t="s">
        <v>4</v>
      </c>
      <c r="F21" s="101">
        <f>F22</f>
        <v>4.6399999999999997</v>
      </c>
      <c r="G21" s="102">
        <f>G22</f>
        <v>8.1999999999999993</v>
      </c>
      <c r="H21" s="102">
        <f>H22</f>
        <v>2.58</v>
      </c>
      <c r="I21" s="102"/>
      <c r="J21" s="102"/>
      <c r="K21" s="102"/>
      <c r="L21" s="102"/>
      <c r="M21" s="102"/>
      <c r="N21" s="121"/>
      <c r="O21" s="190">
        <f t="shared" si="1"/>
        <v>15.42</v>
      </c>
      <c r="P21" s="182">
        <f>(SUMPRODUCT(O22:O24,P22:P24)/O21)</f>
        <v>0</v>
      </c>
      <c r="Q21" s="183"/>
      <c r="R21" s="184">
        <f t="shared" ref="R21" si="2">P21+Q21</f>
        <v>0</v>
      </c>
      <c r="S21" s="182">
        <f t="shared" ref="S21" si="3">O21*P21</f>
        <v>0</v>
      </c>
      <c r="T21" s="185">
        <f t="shared" ref="T21" si="4">O21*Q21</f>
        <v>0</v>
      </c>
      <c r="U21" s="184">
        <f t="shared" ref="U21" si="5">S21+T21</f>
        <v>0</v>
      </c>
      <c r="V21" s="200" t="s">
        <v>123</v>
      </c>
      <c r="X21" s="60"/>
    </row>
    <row r="22" spans="1:24" s="59" customFormat="1" ht="27.75" customHeight="1" outlineLevel="1">
      <c r="A22" s="66" t="s">
        <v>61</v>
      </c>
      <c r="B22" s="202"/>
      <c r="C22" s="20" t="s">
        <v>16</v>
      </c>
      <c r="D22" s="14"/>
      <c r="E22" s="11" t="s">
        <v>4</v>
      </c>
      <c r="F22" s="11">
        <v>4.6399999999999997</v>
      </c>
      <c r="G22" s="18">
        <v>8.1999999999999993</v>
      </c>
      <c r="H22" s="18">
        <v>2.58</v>
      </c>
      <c r="I22" s="18"/>
      <c r="J22" s="18"/>
      <c r="K22" s="18"/>
      <c r="L22" s="18"/>
      <c r="M22" s="18"/>
      <c r="N22" s="114"/>
      <c r="O22" s="99">
        <f t="shared" si="1"/>
        <v>15.42</v>
      </c>
      <c r="P22" s="188"/>
      <c r="Q22" s="189"/>
      <c r="R22" s="184"/>
      <c r="S22" s="182"/>
      <c r="T22" s="185"/>
      <c r="U22" s="184"/>
      <c r="V22" s="200"/>
      <c r="X22" s="60"/>
    </row>
    <row r="23" spans="1:24" s="59" customFormat="1" ht="27.75" customHeight="1" outlineLevel="1">
      <c r="A23" s="66" t="s">
        <v>150</v>
      </c>
      <c r="B23" s="202"/>
      <c r="C23" s="24" t="s">
        <v>90</v>
      </c>
      <c r="D23" s="113">
        <v>50.4</v>
      </c>
      <c r="E23" s="26" t="s">
        <v>30</v>
      </c>
      <c r="F23" s="398">
        <f>4.24*D23</f>
        <v>214</v>
      </c>
      <c r="G23" s="399">
        <f>7.92*D23</f>
        <v>399</v>
      </c>
      <c r="H23" s="399">
        <f>2.3*D23</f>
        <v>116</v>
      </c>
      <c r="I23" s="18"/>
      <c r="J23" s="18"/>
      <c r="K23" s="18"/>
      <c r="L23" s="18"/>
      <c r="M23" s="18"/>
      <c r="N23" s="114"/>
      <c r="O23" s="99">
        <f t="shared" si="1"/>
        <v>729</v>
      </c>
      <c r="P23" s="188"/>
      <c r="Q23" s="189"/>
      <c r="R23" s="184"/>
      <c r="S23" s="182"/>
      <c r="T23" s="185"/>
      <c r="U23" s="184"/>
      <c r="V23" s="200"/>
      <c r="X23" s="60"/>
    </row>
    <row r="24" spans="1:24" s="59" customFormat="1" ht="27.75" customHeight="1" outlineLevel="1">
      <c r="A24" s="66" t="s">
        <v>151</v>
      </c>
      <c r="B24" s="202"/>
      <c r="C24" s="28" t="s">
        <v>59</v>
      </c>
      <c r="D24" s="31">
        <v>2.3E-2</v>
      </c>
      <c r="E24" s="23" t="s">
        <v>34</v>
      </c>
      <c r="F24" s="23">
        <f>4.24*D24</f>
        <v>0.1</v>
      </c>
      <c r="G24" s="18">
        <f>7.92*D24</f>
        <v>0.18</v>
      </c>
      <c r="H24" s="18">
        <f>2.3*D24</f>
        <v>0.05</v>
      </c>
      <c r="I24" s="18"/>
      <c r="J24" s="18"/>
      <c r="K24" s="18"/>
      <c r="L24" s="18"/>
      <c r="M24" s="18"/>
      <c r="N24" s="114"/>
      <c r="O24" s="99">
        <f t="shared" si="1"/>
        <v>0.33</v>
      </c>
      <c r="P24" s="96"/>
      <c r="Q24" s="189"/>
      <c r="R24" s="69"/>
      <c r="S24" s="87"/>
      <c r="T24" s="88"/>
      <c r="U24" s="69"/>
      <c r="V24" s="200"/>
      <c r="X24" s="60"/>
    </row>
    <row r="25" spans="1:24" s="59" customFormat="1" ht="47.25" customHeight="1" outlineLevel="1">
      <c r="A25" s="66" t="s">
        <v>38</v>
      </c>
      <c r="B25" s="202"/>
      <c r="C25" s="21" t="s">
        <v>220</v>
      </c>
      <c r="D25" s="30"/>
      <c r="E25" s="104" t="s">
        <v>4</v>
      </c>
      <c r="F25" s="102"/>
      <c r="G25" s="102">
        <v>1.84</v>
      </c>
      <c r="H25" s="102"/>
      <c r="I25" s="102"/>
      <c r="J25" s="102"/>
      <c r="K25" s="102"/>
      <c r="L25" s="102"/>
      <c r="M25" s="102"/>
      <c r="N25" s="121"/>
      <c r="O25" s="190">
        <f t="shared" si="1"/>
        <v>1.84</v>
      </c>
      <c r="P25" s="182">
        <f>(SUMPRODUCT(O26:O27,P26:P27)/O25)</f>
        <v>0</v>
      </c>
      <c r="Q25" s="183"/>
      <c r="R25" s="184">
        <f t="shared" ref="R25" si="6">P25+Q25</f>
        <v>0</v>
      </c>
      <c r="S25" s="182">
        <f t="shared" ref="S25" si="7">O25*P25</f>
        <v>0</v>
      </c>
      <c r="T25" s="185">
        <f t="shared" ref="T25" si="8">O25*Q25</f>
        <v>0</v>
      </c>
      <c r="U25" s="184">
        <f t="shared" ref="U25" si="9">S25+T25</f>
        <v>0</v>
      </c>
      <c r="V25" s="200"/>
      <c r="X25" s="60"/>
    </row>
    <row r="26" spans="1:24" s="59" customFormat="1" ht="31.5" customHeight="1" outlineLevel="1">
      <c r="A26" s="66" t="s">
        <v>62</v>
      </c>
      <c r="B26" s="202"/>
      <c r="C26" s="24" t="s">
        <v>90</v>
      </c>
      <c r="D26" s="26">
        <v>50.4</v>
      </c>
      <c r="E26" s="23" t="s">
        <v>30</v>
      </c>
      <c r="F26" s="400"/>
      <c r="G26" s="400">
        <f>1.84*D26</f>
        <v>93</v>
      </c>
      <c r="H26" s="400"/>
      <c r="I26" s="92"/>
      <c r="J26" s="92"/>
      <c r="K26" s="92"/>
      <c r="L26" s="92"/>
      <c r="M26" s="92"/>
      <c r="N26" s="114"/>
      <c r="O26" s="123">
        <f t="shared" si="1"/>
        <v>93</v>
      </c>
      <c r="P26" s="188"/>
      <c r="Q26" s="189"/>
      <c r="R26" s="184"/>
      <c r="S26" s="182"/>
      <c r="T26" s="185"/>
      <c r="U26" s="184"/>
      <c r="V26" s="200"/>
      <c r="X26" s="60"/>
    </row>
    <row r="27" spans="1:24" s="59" customFormat="1" ht="31.5" customHeight="1" outlineLevel="1">
      <c r="A27" s="66" t="s">
        <v>63</v>
      </c>
      <c r="B27" s="202"/>
      <c r="C27" s="28" t="s">
        <v>59</v>
      </c>
      <c r="D27" s="31">
        <v>2.3E-2</v>
      </c>
      <c r="E27" s="23" t="s">
        <v>34</v>
      </c>
      <c r="F27" s="92"/>
      <c r="G27" s="92">
        <f>1.84*D27</f>
        <v>0.04</v>
      </c>
      <c r="H27" s="92"/>
      <c r="I27" s="92"/>
      <c r="J27" s="92"/>
      <c r="K27" s="92"/>
      <c r="L27" s="92"/>
      <c r="M27" s="92"/>
      <c r="N27" s="114"/>
      <c r="O27" s="123">
        <f t="shared" si="1"/>
        <v>0.04</v>
      </c>
      <c r="P27" s="188"/>
      <c r="Q27" s="189"/>
      <c r="R27" s="184"/>
      <c r="S27" s="182"/>
      <c r="T27" s="185"/>
      <c r="U27" s="184"/>
      <c r="V27" s="200"/>
      <c r="X27" s="60"/>
    </row>
    <row r="28" spans="1:24" s="59" customFormat="1" ht="42.75" customHeight="1" outlineLevel="1">
      <c r="A28" s="66" t="s">
        <v>26</v>
      </c>
      <c r="B28" s="202"/>
      <c r="C28" s="21" t="s">
        <v>141</v>
      </c>
      <c r="D28" s="105"/>
      <c r="E28" s="104" t="s">
        <v>4</v>
      </c>
      <c r="F28" s="434">
        <f>F29+F30</f>
        <v>51.23</v>
      </c>
      <c r="G28" s="434">
        <f>G29+G30</f>
        <v>28.85</v>
      </c>
      <c r="H28" s="102">
        <f>H29+H30</f>
        <v>52.18</v>
      </c>
      <c r="I28" s="102"/>
      <c r="J28" s="102"/>
      <c r="K28" s="102"/>
      <c r="L28" s="102"/>
      <c r="M28" s="102"/>
      <c r="N28" s="121"/>
      <c r="O28" s="190">
        <f t="shared" si="1"/>
        <v>132.26</v>
      </c>
      <c r="P28" s="182">
        <f>(SUMPRODUCT(O29:O32,P29:P32)/O28)</f>
        <v>0</v>
      </c>
      <c r="Q28" s="183"/>
      <c r="R28" s="184">
        <f t="shared" ref="R28" si="10">P28+Q28</f>
        <v>0</v>
      </c>
      <c r="S28" s="182">
        <f t="shared" ref="S28" si="11">O28*P28</f>
        <v>0</v>
      </c>
      <c r="T28" s="185">
        <f t="shared" ref="T28" si="12">O28*Q28</f>
        <v>0</v>
      </c>
      <c r="U28" s="184">
        <f t="shared" ref="U28" si="13">S28+T28</f>
        <v>0</v>
      </c>
      <c r="V28" s="200"/>
      <c r="X28" s="60"/>
    </row>
    <row r="29" spans="1:24" s="59" customFormat="1" ht="27.75" customHeight="1" outlineLevel="1">
      <c r="A29" s="66" t="s">
        <v>64</v>
      </c>
      <c r="B29" s="202"/>
      <c r="C29" s="24" t="s">
        <v>16</v>
      </c>
      <c r="D29" s="22"/>
      <c r="E29" s="23" t="s">
        <v>4</v>
      </c>
      <c r="F29" s="435">
        <v>49.84</v>
      </c>
      <c r="G29" s="435">
        <v>25.84</v>
      </c>
      <c r="H29" s="92">
        <v>50.01</v>
      </c>
      <c r="I29" s="92"/>
      <c r="J29" s="92"/>
      <c r="K29" s="92"/>
      <c r="L29" s="92"/>
      <c r="M29" s="92"/>
      <c r="N29" s="122"/>
      <c r="O29" s="123">
        <f t="shared" si="1"/>
        <v>125.69</v>
      </c>
      <c r="P29" s="188"/>
      <c r="Q29" s="189"/>
      <c r="R29" s="184"/>
      <c r="S29" s="182"/>
      <c r="T29" s="185"/>
      <c r="U29" s="184"/>
      <c r="V29" s="200"/>
      <c r="X29" s="60"/>
    </row>
    <row r="30" spans="1:24" s="59" customFormat="1" ht="27.75" customHeight="1" outlineLevel="1">
      <c r="A30" s="66" t="s">
        <v>65</v>
      </c>
      <c r="B30" s="202"/>
      <c r="C30" s="307" t="s">
        <v>18</v>
      </c>
      <c r="D30" s="310"/>
      <c r="E30" s="23" t="s">
        <v>4</v>
      </c>
      <c r="F30" s="435">
        <v>1.39</v>
      </c>
      <c r="G30" s="435">
        <v>3.01</v>
      </c>
      <c r="H30" s="92">
        <v>2.17</v>
      </c>
      <c r="I30" s="92"/>
      <c r="J30" s="92"/>
      <c r="K30" s="92"/>
      <c r="L30" s="92"/>
      <c r="M30" s="92"/>
      <c r="N30" s="122"/>
      <c r="O30" s="123">
        <f t="shared" si="1"/>
        <v>6.57</v>
      </c>
      <c r="P30" s="188"/>
      <c r="Q30" s="189"/>
      <c r="R30" s="184"/>
      <c r="S30" s="182"/>
      <c r="T30" s="185"/>
      <c r="U30" s="184"/>
      <c r="V30" s="200"/>
      <c r="X30" s="60"/>
    </row>
    <row r="31" spans="1:24" s="59" customFormat="1" ht="27.75" customHeight="1" outlineLevel="1">
      <c r="A31" s="66" t="s">
        <v>66</v>
      </c>
      <c r="B31" s="202"/>
      <c r="C31" s="307" t="s">
        <v>90</v>
      </c>
      <c r="D31" s="266">
        <v>50.4</v>
      </c>
      <c r="E31" s="23" t="s">
        <v>30</v>
      </c>
      <c r="F31" s="436">
        <f>52.83*D31</f>
        <v>2663</v>
      </c>
      <c r="G31" s="436">
        <f>29.11*D31</f>
        <v>1467</v>
      </c>
      <c r="H31" s="400">
        <f>54.24*D31</f>
        <v>2734</v>
      </c>
      <c r="I31" s="92"/>
      <c r="J31" s="92"/>
      <c r="K31" s="92"/>
      <c r="L31" s="92"/>
      <c r="M31" s="92"/>
      <c r="N31" s="122"/>
      <c r="O31" s="123">
        <f t="shared" si="1"/>
        <v>6864</v>
      </c>
      <c r="P31" s="188"/>
      <c r="Q31" s="106"/>
      <c r="R31" s="69"/>
      <c r="S31" s="70"/>
      <c r="T31" s="71"/>
      <c r="U31" s="69"/>
      <c r="V31" s="200"/>
      <c r="X31" s="60"/>
    </row>
    <row r="32" spans="1:24" s="59" customFormat="1" ht="27.75" customHeight="1" outlineLevel="1">
      <c r="A32" s="66" t="s">
        <v>152</v>
      </c>
      <c r="B32" s="202"/>
      <c r="C32" s="308" t="s">
        <v>59</v>
      </c>
      <c r="D32" s="311">
        <v>2.3E-2</v>
      </c>
      <c r="E32" s="23" t="s">
        <v>34</v>
      </c>
      <c r="F32" s="435">
        <f>52.83*D32</f>
        <v>1.22</v>
      </c>
      <c r="G32" s="435">
        <f>29.11*D32</f>
        <v>0.67</v>
      </c>
      <c r="H32" s="92">
        <f>54.24*D32</f>
        <v>1.25</v>
      </c>
      <c r="I32" s="92"/>
      <c r="J32" s="92"/>
      <c r="K32" s="92"/>
      <c r="L32" s="92"/>
      <c r="M32" s="92"/>
      <c r="N32" s="122"/>
      <c r="O32" s="123">
        <f t="shared" si="1"/>
        <v>3.14</v>
      </c>
      <c r="P32" s="188"/>
      <c r="Q32" s="106"/>
      <c r="R32" s="69"/>
      <c r="S32" s="70"/>
      <c r="T32" s="71"/>
      <c r="U32" s="69"/>
      <c r="V32" s="200"/>
      <c r="X32" s="60"/>
    </row>
    <row r="33" spans="1:24" s="59" customFormat="1" ht="48.75" customHeight="1" outlineLevel="1">
      <c r="A33" s="66" t="s">
        <v>27</v>
      </c>
      <c r="B33" s="202"/>
      <c r="C33" s="231" t="s">
        <v>142</v>
      </c>
      <c r="D33" s="312"/>
      <c r="E33" s="104" t="s">
        <v>4</v>
      </c>
      <c r="F33" s="102">
        <f>F34</f>
        <v>12.91</v>
      </c>
      <c r="G33" s="102">
        <f t="shared" ref="G33:H33" si="14">G34</f>
        <v>8.26</v>
      </c>
      <c r="H33" s="102">
        <f t="shared" si="14"/>
        <v>13.86</v>
      </c>
      <c r="I33" s="102"/>
      <c r="J33" s="102"/>
      <c r="K33" s="102"/>
      <c r="L33" s="102"/>
      <c r="M33" s="102"/>
      <c r="N33" s="121"/>
      <c r="O33" s="190">
        <f t="shared" si="1"/>
        <v>35.03</v>
      </c>
      <c r="P33" s="182">
        <f>(SUMPRODUCT(O34:O36,P34:P36)/O33)</f>
        <v>0</v>
      </c>
      <c r="Q33" s="183"/>
      <c r="R33" s="184">
        <f t="shared" ref="R33" si="15">P33+Q33</f>
        <v>0</v>
      </c>
      <c r="S33" s="182">
        <f t="shared" ref="S33" si="16">O33*P33</f>
        <v>0</v>
      </c>
      <c r="T33" s="185">
        <f t="shared" ref="T33" si="17">O33*Q33</f>
        <v>0</v>
      </c>
      <c r="U33" s="184">
        <f t="shared" ref="U33" si="18">S33+T33</f>
        <v>0</v>
      </c>
      <c r="V33" s="200"/>
      <c r="X33" s="60"/>
    </row>
    <row r="34" spans="1:24" s="59" customFormat="1" ht="30" customHeight="1" outlineLevel="1">
      <c r="A34" s="66" t="s">
        <v>67</v>
      </c>
      <c r="B34" s="205"/>
      <c r="C34" s="308" t="s">
        <v>16</v>
      </c>
      <c r="D34" s="310"/>
      <c r="E34" s="23" t="s">
        <v>4</v>
      </c>
      <c r="F34" s="192">
        <v>12.91</v>
      </c>
      <c r="G34" s="192">
        <v>8.26</v>
      </c>
      <c r="H34" s="192">
        <v>13.86</v>
      </c>
      <c r="I34" s="192"/>
      <c r="J34" s="192"/>
      <c r="K34" s="192"/>
      <c r="L34" s="192"/>
      <c r="M34" s="192"/>
      <c r="N34" s="405"/>
      <c r="O34" s="123">
        <f t="shared" si="1"/>
        <v>35.03</v>
      </c>
      <c r="P34" s="188"/>
      <c r="Q34" s="189"/>
      <c r="R34" s="184"/>
      <c r="S34" s="182"/>
      <c r="T34" s="185"/>
      <c r="U34" s="184"/>
      <c r="V34" s="415"/>
      <c r="X34" s="60"/>
    </row>
    <row r="35" spans="1:24" s="59" customFormat="1" ht="30" customHeight="1" outlineLevel="1">
      <c r="A35" s="66" t="s">
        <v>68</v>
      </c>
      <c r="B35" s="202"/>
      <c r="C35" s="307" t="s">
        <v>90</v>
      </c>
      <c r="D35" s="266">
        <v>50.4</v>
      </c>
      <c r="E35" s="23" t="s">
        <v>30</v>
      </c>
      <c r="F35" s="400">
        <f>12.91*D35</f>
        <v>651</v>
      </c>
      <c r="G35" s="400">
        <f>8.08*D35</f>
        <v>407</v>
      </c>
      <c r="H35" s="400">
        <f>13.86*D35</f>
        <v>699</v>
      </c>
      <c r="I35" s="92"/>
      <c r="J35" s="92"/>
      <c r="K35" s="92"/>
      <c r="L35" s="92"/>
      <c r="M35" s="92"/>
      <c r="N35" s="122"/>
      <c r="O35" s="123">
        <f t="shared" si="1"/>
        <v>1757</v>
      </c>
      <c r="P35" s="188"/>
      <c r="Q35" s="189"/>
      <c r="R35" s="184"/>
      <c r="S35" s="182"/>
      <c r="T35" s="185"/>
      <c r="U35" s="184"/>
      <c r="V35" s="200"/>
      <c r="X35" s="60"/>
    </row>
    <row r="36" spans="1:24" s="59" customFormat="1" ht="30" customHeight="1" outlineLevel="1">
      <c r="A36" s="66" t="s">
        <v>88</v>
      </c>
      <c r="B36" s="202"/>
      <c r="C36" s="308" t="s">
        <v>59</v>
      </c>
      <c r="D36" s="311">
        <v>2.3E-2</v>
      </c>
      <c r="E36" s="23" t="s">
        <v>34</v>
      </c>
      <c r="F36" s="92">
        <f>12.91*D36</f>
        <v>0.3</v>
      </c>
      <c r="G36" s="400">
        <f>8.08*D36</f>
        <v>0</v>
      </c>
      <c r="H36" s="92">
        <f>13.86*D36</f>
        <v>0.32</v>
      </c>
      <c r="I36" s="92"/>
      <c r="J36" s="92"/>
      <c r="K36" s="92"/>
      <c r="L36" s="92"/>
      <c r="M36" s="92"/>
      <c r="N36" s="122"/>
      <c r="O36" s="123">
        <f t="shared" si="1"/>
        <v>0.62</v>
      </c>
      <c r="P36" s="188"/>
      <c r="Q36" s="106"/>
      <c r="R36" s="69"/>
      <c r="S36" s="70"/>
      <c r="T36" s="71"/>
      <c r="U36" s="69"/>
      <c r="V36" s="200"/>
      <c r="X36" s="60"/>
    </row>
    <row r="37" spans="1:24" s="59" customFormat="1" ht="30" customHeight="1" outlineLevel="1">
      <c r="A37" s="66" t="s">
        <v>19</v>
      </c>
      <c r="B37" s="202"/>
      <c r="C37" s="231" t="s">
        <v>354</v>
      </c>
      <c r="D37" s="313"/>
      <c r="E37" s="132" t="s">
        <v>4</v>
      </c>
      <c r="F37" s="193">
        <v>58.63</v>
      </c>
      <c r="G37" s="417">
        <v>37</v>
      </c>
      <c r="H37" s="193">
        <v>63.59</v>
      </c>
      <c r="I37" s="193"/>
      <c r="J37" s="192"/>
      <c r="K37" s="192"/>
      <c r="L37" s="192"/>
      <c r="M37" s="192"/>
      <c r="N37" s="122"/>
      <c r="O37" s="123">
        <f t="shared" si="1"/>
        <v>159.22</v>
      </c>
      <c r="P37" s="182">
        <f>P38*O38/O37</f>
        <v>0</v>
      </c>
      <c r="Q37" s="183"/>
      <c r="R37" s="184">
        <f t="shared" ref="R37" si="19">P37+Q37</f>
        <v>0</v>
      </c>
      <c r="S37" s="182">
        <f>O37*P37</f>
        <v>0</v>
      </c>
      <c r="T37" s="185">
        <f>O37*Q37</f>
        <v>0</v>
      </c>
      <c r="U37" s="184">
        <f>S37+T37</f>
        <v>0</v>
      </c>
      <c r="V37" s="200"/>
      <c r="X37" s="60"/>
    </row>
    <row r="38" spans="1:24" s="59" customFormat="1" ht="30" customHeight="1" outlineLevel="1">
      <c r="A38" s="66" t="s">
        <v>69</v>
      </c>
      <c r="B38" s="203">
        <v>4100017642</v>
      </c>
      <c r="C38" s="157" t="s">
        <v>108</v>
      </c>
      <c r="D38" s="314"/>
      <c r="E38" s="116" t="s">
        <v>4</v>
      </c>
      <c r="F38" s="192">
        <v>58.63</v>
      </c>
      <c r="G38" s="414">
        <v>37</v>
      </c>
      <c r="H38" s="192">
        <v>63.59</v>
      </c>
      <c r="I38" s="192"/>
      <c r="J38" s="192"/>
      <c r="K38" s="192"/>
      <c r="L38" s="192"/>
      <c r="M38" s="192"/>
      <c r="N38" s="122"/>
      <c r="O38" s="123">
        <f t="shared" si="1"/>
        <v>159.22</v>
      </c>
      <c r="P38" s="186"/>
      <c r="Q38" s="187"/>
      <c r="R38" s="184"/>
      <c r="S38" s="182"/>
      <c r="T38" s="185"/>
      <c r="U38" s="184"/>
      <c r="V38" s="397" t="s">
        <v>405</v>
      </c>
      <c r="X38" s="60"/>
    </row>
    <row r="39" spans="1:24" s="59" customFormat="1" ht="58.5" customHeight="1" outlineLevel="1">
      <c r="A39" s="66" t="s">
        <v>28</v>
      </c>
      <c r="B39" s="202"/>
      <c r="C39" s="90" t="s">
        <v>143</v>
      </c>
      <c r="D39" s="315"/>
      <c r="E39" s="107" t="s">
        <v>4</v>
      </c>
      <c r="F39" s="102">
        <v>126.2</v>
      </c>
      <c r="G39" s="102">
        <v>330.76</v>
      </c>
      <c r="H39" s="102">
        <v>25.4</v>
      </c>
      <c r="I39" s="102"/>
      <c r="J39" s="102"/>
      <c r="K39" s="102"/>
      <c r="L39" s="102"/>
      <c r="M39" s="102"/>
      <c r="N39" s="121"/>
      <c r="O39" s="190">
        <f t="shared" si="1"/>
        <v>482.36</v>
      </c>
      <c r="P39" s="182">
        <f>(SUMPRODUCT(O40:O43,P40:P43)/O39)</f>
        <v>0</v>
      </c>
      <c r="Q39" s="183"/>
      <c r="R39" s="184">
        <f t="shared" ref="R39" si="20">P39+Q39</f>
        <v>0</v>
      </c>
      <c r="S39" s="182">
        <f t="shared" ref="S39" si="21">O39*P39</f>
        <v>0</v>
      </c>
      <c r="T39" s="185">
        <f t="shared" ref="T39" si="22">O39*Q39</f>
        <v>0</v>
      </c>
      <c r="U39" s="184">
        <f t="shared" ref="U39" si="23">S39+T39</f>
        <v>0</v>
      </c>
      <c r="V39" s="200"/>
      <c r="X39" s="60"/>
    </row>
    <row r="40" spans="1:24" s="59" customFormat="1" ht="33.75" customHeight="1" outlineLevel="1">
      <c r="A40" s="66" t="s">
        <v>39</v>
      </c>
      <c r="B40" s="204">
        <v>4100027698</v>
      </c>
      <c r="C40" s="194" t="s">
        <v>110</v>
      </c>
      <c r="D40" s="19">
        <v>50.4</v>
      </c>
      <c r="E40" s="19" t="s">
        <v>30</v>
      </c>
      <c r="F40" s="400">
        <f>33.75*D40</f>
        <v>1701</v>
      </c>
      <c r="G40" s="400">
        <f>216.1*D40</f>
        <v>10891</v>
      </c>
      <c r="H40" s="400">
        <f>15.6*D40</f>
        <v>786</v>
      </c>
      <c r="I40" s="18"/>
      <c r="J40" s="18"/>
      <c r="K40" s="18"/>
      <c r="L40" s="18"/>
      <c r="M40" s="18"/>
      <c r="N40" s="114"/>
      <c r="O40" s="123">
        <f t="shared" si="1"/>
        <v>13378</v>
      </c>
      <c r="P40" s="188"/>
      <c r="Q40" s="189"/>
      <c r="R40" s="184"/>
      <c r="S40" s="182"/>
      <c r="T40" s="185"/>
      <c r="U40" s="184"/>
      <c r="V40" s="200"/>
      <c r="X40" s="60"/>
    </row>
    <row r="41" spans="1:24" s="59" customFormat="1" ht="33.75" customHeight="1" outlineLevel="1">
      <c r="A41" s="66" t="s">
        <v>70</v>
      </c>
      <c r="B41" s="204">
        <v>4100027470</v>
      </c>
      <c r="C41" s="194" t="s">
        <v>111</v>
      </c>
      <c r="D41" s="19">
        <v>50.4</v>
      </c>
      <c r="E41" s="19" t="s">
        <v>30</v>
      </c>
      <c r="F41" s="400">
        <f>76.65*D41</f>
        <v>3863</v>
      </c>
      <c r="G41" s="92"/>
      <c r="H41" s="92"/>
      <c r="I41" s="18"/>
      <c r="J41" s="18"/>
      <c r="K41" s="18"/>
      <c r="L41" s="18"/>
      <c r="M41" s="18"/>
      <c r="N41" s="114"/>
      <c r="O41" s="123">
        <f t="shared" si="1"/>
        <v>3863</v>
      </c>
      <c r="P41" s="188"/>
      <c r="Q41" s="189"/>
      <c r="R41" s="184"/>
      <c r="S41" s="182"/>
      <c r="T41" s="185"/>
      <c r="U41" s="184"/>
      <c r="V41" s="200"/>
      <c r="X41" s="60"/>
    </row>
    <row r="42" spans="1:24" s="59" customFormat="1" ht="33.75" customHeight="1" outlineLevel="1">
      <c r="A42" s="66" t="s">
        <v>71</v>
      </c>
      <c r="B42" s="204">
        <v>4100025823</v>
      </c>
      <c r="C42" s="194" t="s">
        <v>116</v>
      </c>
      <c r="D42" s="19">
        <v>50.4</v>
      </c>
      <c r="E42" s="19" t="s">
        <v>30</v>
      </c>
      <c r="F42" s="400">
        <f>15.8*D42</f>
        <v>796</v>
      </c>
      <c r="G42" s="400">
        <f>114.66*D42</f>
        <v>5779</v>
      </c>
      <c r="H42" s="400">
        <f>9.8*D42</f>
        <v>494</v>
      </c>
      <c r="I42" s="18"/>
      <c r="J42" s="18"/>
      <c r="K42" s="18"/>
      <c r="L42" s="18"/>
      <c r="M42" s="18"/>
      <c r="N42" s="114"/>
      <c r="O42" s="123">
        <f t="shared" si="1"/>
        <v>7069</v>
      </c>
      <c r="P42" s="188"/>
      <c r="Q42" s="106"/>
      <c r="R42" s="69"/>
      <c r="S42" s="70"/>
      <c r="T42" s="71"/>
      <c r="U42" s="69"/>
      <c r="V42" s="200"/>
      <c r="X42" s="60"/>
    </row>
    <row r="43" spans="1:24" s="59" customFormat="1" ht="33.75" customHeight="1" outlineLevel="1">
      <c r="A43" s="66" t="s">
        <v>72</v>
      </c>
      <c r="B43" s="202"/>
      <c r="C43" s="308" t="s">
        <v>32</v>
      </c>
      <c r="D43" s="249">
        <v>51</v>
      </c>
      <c r="E43" s="23" t="s">
        <v>31</v>
      </c>
      <c r="F43" s="92">
        <f>126.2*D43</f>
        <v>6436.2</v>
      </c>
      <c r="G43" s="92">
        <f>330.76*D43</f>
        <v>16868.759999999998</v>
      </c>
      <c r="H43" s="92">
        <f>25.4*D43</f>
        <v>1295.4000000000001</v>
      </c>
      <c r="I43" s="18"/>
      <c r="J43" s="18"/>
      <c r="K43" s="18"/>
      <c r="L43" s="18"/>
      <c r="M43" s="18"/>
      <c r="N43" s="114"/>
      <c r="O43" s="123">
        <f t="shared" si="1"/>
        <v>24600.36</v>
      </c>
      <c r="P43" s="188"/>
      <c r="Q43" s="106"/>
      <c r="R43" s="69"/>
      <c r="S43" s="70"/>
      <c r="T43" s="71"/>
      <c r="U43" s="69"/>
      <c r="V43" s="200"/>
      <c r="X43" s="60"/>
    </row>
    <row r="44" spans="1:24" s="59" customFormat="1" ht="45" customHeight="1" outlineLevel="1">
      <c r="A44" s="66" t="s">
        <v>40</v>
      </c>
      <c r="B44" s="202"/>
      <c r="C44" s="90" t="s">
        <v>144</v>
      </c>
      <c r="D44" s="315"/>
      <c r="E44" s="107" t="s">
        <v>4</v>
      </c>
      <c r="F44" s="102">
        <v>680.28</v>
      </c>
      <c r="G44" s="102">
        <v>313.39999999999998</v>
      </c>
      <c r="H44" s="102">
        <v>1076.79</v>
      </c>
      <c r="I44" s="102"/>
      <c r="J44" s="18"/>
      <c r="K44" s="18"/>
      <c r="L44" s="18"/>
      <c r="M44" s="18"/>
      <c r="N44" s="114"/>
      <c r="O44" s="190">
        <f t="shared" si="1"/>
        <v>2070.4699999999998</v>
      </c>
      <c r="P44" s="182">
        <f>(SUMPRODUCT(O45:O52,P45:P52)/O44)</f>
        <v>0</v>
      </c>
      <c r="Q44" s="183"/>
      <c r="R44" s="184">
        <f t="shared" ref="R44" si="24">P44+Q44</f>
        <v>0</v>
      </c>
      <c r="S44" s="182">
        <f t="shared" ref="S44" si="25">O44*P44</f>
        <v>0</v>
      </c>
      <c r="T44" s="185">
        <f t="shared" ref="T44" si="26">O44*Q44</f>
        <v>0</v>
      </c>
      <c r="U44" s="184">
        <f t="shared" ref="U44" si="27">S44+T44</f>
        <v>0</v>
      </c>
      <c r="V44" s="200"/>
      <c r="X44" s="60"/>
    </row>
    <row r="45" spans="1:24" s="59" customFormat="1" ht="27.75" customHeight="1" outlineLevel="1">
      <c r="A45" s="66" t="s">
        <v>41</v>
      </c>
      <c r="B45" s="202"/>
      <c r="C45" s="309" t="s">
        <v>18</v>
      </c>
      <c r="D45" s="265"/>
      <c r="E45" s="11" t="s">
        <v>4</v>
      </c>
      <c r="F45" s="92">
        <f>21.74+516.6+141.94</f>
        <v>680.28</v>
      </c>
      <c r="G45" s="92">
        <f>273.69+7.16+32.55</f>
        <v>313.39999999999998</v>
      </c>
      <c r="H45" s="92">
        <f>717.96+358.83</f>
        <v>1076.79</v>
      </c>
      <c r="I45" s="92"/>
      <c r="J45" s="18"/>
      <c r="K45" s="18"/>
      <c r="L45" s="18"/>
      <c r="M45" s="18"/>
      <c r="N45" s="114"/>
      <c r="O45" s="123">
        <f t="shared" si="1"/>
        <v>2070.4699999999998</v>
      </c>
      <c r="P45" s="188"/>
      <c r="Q45" s="189"/>
      <c r="R45" s="184"/>
      <c r="S45" s="182"/>
      <c r="T45" s="185"/>
      <c r="U45" s="184"/>
      <c r="V45" s="200"/>
      <c r="X45" s="60"/>
    </row>
    <row r="46" spans="1:24" s="59" customFormat="1" ht="27.75" customHeight="1" outlineLevel="1">
      <c r="A46" s="66" t="s">
        <v>42</v>
      </c>
      <c r="B46" s="204">
        <v>4100027698</v>
      </c>
      <c r="C46" s="194" t="s">
        <v>110</v>
      </c>
      <c r="D46" s="19">
        <v>50.4</v>
      </c>
      <c r="E46" s="19" t="s">
        <v>30</v>
      </c>
      <c r="F46" s="400">
        <f>12.32*D46</f>
        <v>621</v>
      </c>
      <c r="G46" s="400">
        <f>45.94*D46</f>
        <v>2315</v>
      </c>
      <c r="H46" s="92"/>
      <c r="I46" s="92"/>
      <c r="J46" s="18"/>
      <c r="K46" s="18"/>
      <c r="L46" s="18"/>
      <c r="M46" s="18"/>
      <c r="N46" s="114"/>
      <c r="O46" s="123">
        <f t="shared" si="1"/>
        <v>2936</v>
      </c>
      <c r="P46" s="188"/>
      <c r="Q46" s="189"/>
      <c r="R46" s="184"/>
      <c r="S46" s="182"/>
      <c r="T46" s="185"/>
      <c r="U46" s="184"/>
      <c r="V46" s="200"/>
      <c r="X46" s="60"/>
    </row>
    <row r="47" spans="1:24" s="59" customFormat="1" ht="27.75" customHeight="1" outlineLevel="1">
      <c r="A47" s="66" t="s">
        <v>43</v>
      </c>
      <c r="B47" s="204">
        <v>4100027470</v>
      </c>
      <c r="C47" s="194" t="s">
        <v>111</v>
      </c>
      <c r="D47" s="19">
        <v>50.4</v>
      </c>
      <c r="E47" s="19" t="s">
        <v>30</v>
      </c>
      <c r="F47" s="400">
        <f>554.08*D47</f>
        <v>27926</v>
      </c>
      <c r="G47" s="400">
        <f>7.36*D47</f>
        <v>371</v>
      </c>
      <c r="H47" s="92"/>
      <c r="I47" s="92"/>
      <c r="J47" s="18"/>
      <c r="K47" s="18"/>
      <c r="L47" s="18"/>
      <c r="M47" s="18"/>
      <c r="N47" s="114"/>
      <c r="O47" s="123">
        <f t="shared" si="1"/>
        <v>28297</v>
      </c>
      <c r="P47" s="188"/>
      <c r="Q47" s="106"/>
      <c r="R47" s="69"/>
      <c r="S47" s="70"/>
      <c r="T47" s="71"/>
      <c r="U47" s="69"/>
      <c r="V47" s="200"/>
      <c r="X47" s="60"/>
    </row>
    <row r="48" spans="1:24" s="59" customFormat="1" ht="27.75" customHeight="1" outlineLevel="1">
      <c r="A48" s="66" t="s">
        <v>56</v>
      </c>
      <c r="B48" s="204">
        <v>4100025823</v>
      </c>
      <c r="C48" s="194" t="s">
        <v>116</v>
      </c>
      <c r="D48" s="19">
        <v>50.4</v>
      </c>
      <c r="E48" s="19" t="s">
        <v>30</v>
      </c>
      <c r="F48" s="400">
        <f>15.28*D48</f>
        <v>770</v>
      </c>
      <c r="G48" s="400">
        <f>248.77*D48</f>
        <v>12538</v>
      </c>
      <c r="H48" s="92"/>
      <c r="I48" s="92"/>
      <c r="J48" s="18"/>
      <c r="K48" s="18"/>
      <c r="L48" s="18"/>
      <c r="M48" s="18"/>
      <c r="N48" s="114"/>
      <c r="O48" s="123">
        <f t="shared" si="1"/>
        <v>13308</v>
      </c>
      <c r="P48" s="188"/>
      <c r="Q48" s="106"/>
      <c r="R48" s="69"/>
      <c r="S48" s="70"/>
      <c r="T48" s="71"/>
      <c r="U48" s="69"/>
      <c r="V48" s="200"/>
      <c r="X48" s="60"/>
    </row>
    <row r="49" spans="1:24" s="59" customFormat="1" ht="27.75" customHeight="1" outlineLevel="1">
      <c r="A49" s="66" t="s">
        <v>73</v>
      </c>
      <c r="B49" s="204">
        <v>4100027693</v>
      </c>
      <c r="C49" s="194" t="s">
        <v>113</v>
      </c>
      <c r="D49" s="19">
        <v>50.4</v>
      </c>
      <c r="E49" s="19" t="s">
        <v>30</v>
      </c>
      <c r="F49" s="400">
        <f>141.94*D49</f>
        <v>7154</v>
      </c>
      <c r="G49" s="400">
        <f>32.55*D49</f>
        <v>1641</v>
      </c>
      <c r="H49" s="400">
        <f>371.65*D49</f>
        <v>18731</v>
      </c>
      <c r="I49" s="92"/>
      <c r="J49" s="18"/>
      <c r="K49" s="18"/>
      <c r="L49" s="18"/>
      <c r="M49" s="18"/>
      <c r="N49" s="114"/>
      <c r="O49" s="123">
        <f t="shared" si="1"/>
        <v>27526</v>
      </c>
      <c r="P49" s="188"/>
      <c r="Q49" s="106"/>
      <c r="R49" s="69"/>
      <c r="S49" s="70"/>
      <c r="T49" s="71"/>
      <c r="U49" s="69"/>
      <c r="V49" s="200"/>
      <c r="X49" s="60"/>
    </row>
    <row r="50" spans="1:24" s="59" customFormat="1" ht="27.75" customHeight="1" outlineLevel="1">
      <c r="A50" s="66" t="s">
        <v>74</v>
      </c>
      <c r="B50" s="204">
        <v>4100025770</v>
      </c>
      <c r="C50" s="194" t="s">
        <v>114</v>
      </c>
      <c r="D50" s="19">
        <v>10.08</v>
      </c>
      <c r="E50" s="19" t="s">
        <v>30</v>
      </c>
      <c r="F50" s="92"/>
      <c r="G50" s="92"/>
      <c r="H50" s="400">
        <f>824.75*D50</f>
        <v>8313</v>
      </c>
      <c r="I50" s="92"/>
      <c r="J50" s="92"/>
      <c r="K50" s="92"/>
      <c r="L50" s="92"/>
      <c r="M50" s="92"/>
      <c r="N50" s="122"/>
      <c r="O50" s="123">
        <f t="shared" si="1"/>
        <v>8313</v>
      </c>
      <c r="P50" s="188"/>
      <c r="Q50" s="106"/>
      <c r="R50" s="69"/>
      <c r="S50" s="70"/>
      <c r="T50" s="71"/>
      <c r="U50" s="69"/>
      <c r="V50" s="200"/>
      <c r="X50" s="60"/>
    </row>
    <row r="51" spans="1:24" s="59" customFormat="1" ht="27.75" customHeight="1" outlineLevel="1">
      <c r="A51" s="66" t="s">
        <v>89</v>
      </c>
      <c r="B51" s="204">
        <v>4100025771</v>
      </c>
      <c r="C51" s="194" t="s">
        <v>115</v>
      </c>
      <c r="D51" s="19">
        <v>40.32</v>
      </c>
      <c r="E51" s="19" t="s">
        <v>30</v>
      </c>
      <c r="F51" s="92"/>
      <c r="G51" s="92"/>
      <c r="H51" s="400">
        <f>824.75*D51</f>
        <v>33254</v>
      </c>
      <c r="I51" s="92"/>
      <c r="J51" s="92"/>
      <c r="K51" s="92"/>
      <c r="L51" s="92"/>
      <c r="M51" s="92"/>
      <c r="N51" s="122"/>
      <c r="O51" s="123">
        <f t="shared" si="1"/>
        <v>33254</v>
      </c>
      <c r="P51" s="188"/>
      <c r="Q51" s="106"/>
      <c r="R51" s="69"/>
      <c r="S51" s="70"/>
      <c r="T51" s="71"/>
      <c r="U51" s="69"/>
      <c r="V51" s="200"/>
      <c r="X51" s="60"/>
    </row>
    <row r="52" spans="1:24" s="59" customFormat="1" ht="27.75" customHeight="1" outlineLevel="1">
      <c r="A52" s="66" t="s">
        <v>153</v>
      </c>
      <c r="B52" s="202"/>
      <c r="C52" s="308" t="s">
        <v>32</v>
      </c>
      <c r="D52" s="249">
        <v>51</v>
      </c>
      <c r="E52" s="23" t="s">
        <v>31</v>
      </c>
      <c r="F52" s="92">
        <f>723.62*D52</f>
        <v>36904.620000000003</v>
      </c>
      <c r="G52" s="92">
        <f>334.62*D52</f>
        <v>17065.62</v>
      </c>
      <c r="H52" s="92">
        <f>(824.75+371.65)*D52</f>
        <v>61016.4</v>
      </c>
      <c r="I52" s="92"/>
      <c r="J52" s="18"/>
      <c r="K52" s="18"/>
      <c r="L52" s="18"/>
      <c r="M52" s="18"/>
      <c r="N52" s="114"/>
      <c r="O52" s="123">
        <f t="shared" si="1"/>
        <v>114986.64</v>
      </c>
      <c r="P52" s="188"/>
      <c r="Q52" s="106"/>
      <c r="R52" s="69"/>
      <c r="S52" s="70"/>
      <c r="T52" s="71"/>
      <c r="U52" s="69"/>
      <c r="V52" s="200"/>
      <c r="X52" s="60"/>
    </row>
    <row r="53" spans="1:24" s="59" customFormat="1" ht="42" customHeight="1" outlineLevel="1">
      <c r="A53" s="66" t="s">
        <v>29</v>
      </c>
      <c r="B53" s="202"/>
      <c r="C53" s="90" t="s">
        <v>145</v>
      </c>
      <c r="D53" s="315"/>
      <c r="E53" s="107" t="s">
        <v>4</v>
      </c>
      <c r="F53" s="102"/>
      <c r="G53" s="102">
        <v>9.15</v>
      </c>
      <c r="H53" s="102"/>
      <c r="I53" s="102"/>
      <c r="J53" s="18"/>
      <c r="K53" s="18"/>
      <c r="L53" s="18"/>
      <c r="M53" s="18"/>
      <c r="N53" s="114"/>
      <c r="O53" s="190">
        <f t="shared" si="1"/>
        <v>9.15</v>
      </c>
      <c r="P53" s="182">
        <f>(SUMPRODUCT(O54:O56,P54:P56)/O53)</f>
        <v>0</v>
      </c>
      <c r="Q53" s="183"/>
      <c r="R53" s="184">
        <f t="shared" ref="R53" si="28">P53+Q53</f>
        <v>0</v>
      </c>
      <c r="S53" s="182">
        <f t="shared" ref="S53" si="29">O53*P53</f>
        <v>0</v>
      </c>
      <c r="T53" s="185">
        <f t="shared" ref="T53" si="30">O53*Q53</f>
        <v>0</v>
      </c>
      <c r="U53" s="184">
        <f t="shared" ref="U53" si="31">S53+T53</f>
        <v>0</v>
      </c>
      <c r="V53" s="200"/>
      <c r="X53" s="60"/>
    </row>
    <row r="54" spans="1:24" s="59" customFormat="1" ht="24.75" customHeight="1" outlineLevel="1">
      <c r="A54" s="66" t="s">
        <v>44</v>
      </c>
      <c r="B54" s="202"/>
      <c r="C54" s="309" t="s">
        <v>17</v>
      </c>
      <c r="D54" s="316"/>
      <c r="E54" s="6" t="s">
        <v>4</v>
      </c>
      <c r="F54" s="92"/>
      <c r="G54" s="92">
        <v>9.15</v>
      </c>
      <c r="H54" s="92"/>
      <c r="I54" s="92"/>
      <c r="J54" s="92"/>
      <c r="K54" s="92"/>
      <c r="L54" s="92"/>
      <c r="M54" s="92"/>
      <c r="N54" s="122"/>
      <c r="O54" s="123">
        <f t="shared" si="1"/>
        <v>9.15</v>
      </c>
      <c r="P54" s="188"/>
      <c r="Q54" s="189"/>
      <c r="R54" s="184"/>
      <c r="S54" s="182"/>
      <c r="T54" s="185"/>
      <c r="U54" s="184"/>
      <c r="V54" s="200"/>
      <c r="X54" s="60"/>
    </row>
    <row r="55" spans="1:24" s="59" customFormat="1" ht="24.75" customHeight="1" outlineLevel="1">
      <c r="A55" s="66" t="s">
        <v>45</v>
      </c>
      <c r="B55" s="204">
        <v>4100025823</v>
      </c>
      <c r="C55" s="194" t="s">
        <v>116</v>
      </c>
      <c r="D55" s="19">
        <v>50.4</v>
      </c>
      <c r="E55" s="19" t="s">
        <v>30</v>
      </c>
      <c r="F55" s="92"/>
      <c r="G55" s="400">
        <f>9.15*D55</f>
        <v>461</v>
      </c>
      <c r="H55" s="92"/>
      <c r="I55" s="92"/>
      <c r="J55" s="92"/>
      <c r="K55" s="92"/>
      <c r="L55" s="92"/>
      <c r="M55" s="92"/>
      <c r="N55" s="122"/>
      <c r="O55" s="123">
        <f t="shared" si="1"/>
        <v>461</v>
      </c>
      <c r="P55" s="188"/>
      <c r="Q55" s="189"/>
      <c r="R55" s="184"/>
      <c r="S55" s="182"/>
      <c r="T55" s="185"/>
      <c r="U55" s="184"/>
      <c r="V55" s="200"/>
      <c r="X55" s="60"/>
    </row>
    <row r="56" spans="1:24" s="59" customFormat="1" ht="24.75" customHeight="1" outlineLevel="1">
      <c r="A56" s="66" t="s">
        <v>57</v>
      </c>
      <c r="B56" s="202"/>
      <c r="C56" s="308" t="s">
        <v>32</v>
      </c>
      <c r="D56" s="249">
        <v>51</v>
      </c>
      <c r="E56" s="23" t="s">
        <v>31</v>
      </c>
      <c r="F56" s="92"/>
      <c r="G56" s="92">
        <f>9.15*D56</f>
        <v>466.65</v>
      </c>
      <c r="H56" s="92"/>
      <c r="I56" s="92"/>
      <c r="J56" s="92"/>
      <c r="K56" s="92"/>
      <c r="L56" s="92"/>
      <c r="M56" s="92"/>
      <c r="N56" s="122"/>
      <c r="O56" s="123">
        <f t="shared" si="1"/>
        <v>466.65</v>
      </c>
      <c r="P56" s="188"/>
      <c r="Q56" s="106"/>
      <c r="R56" s="69"/>
      <c r="S56" s="70"/>
      <c r="T56" s="71"/>
      <c r="U56" s="69"/>
      <c r="V56" s="200"/>
      <c r="X56" s="60"/>
    </row>
    <row r="57" spans="1:24" s="59" customFormat="1" ht="48.75" customHeight="1" outlineLevel="1">
      <c r="A57" s="66" t="s">
        <v>20</v>
      </c>
      <c r="B57" s="202"/>
      <c r="C57" s="90" t="s">
        <v>146</v>
      </c>
      <c r="D57" s="315"/>
      <c r="E57" s="107" t="s">
        <v>4</v>
      </c>
      <c r="F57" s="102">
        <v>220.89</v>
      </c>
      <c r="G57" s="102">
        <v>103.38</v>
      </c>
      <c r="H57" s="102">
        <v>327.7</v>
      </c>
      <c r="I57" s="102"/>
      <c r="J57" s="18"/>
      <c r="K57" s="18"/>
      <c r="L57" s="18"/>
      <c r="M57" s="18"/>
      <c r="N57" s="114"/>
      <c r="O57" s="190">
        <f t="shared" si="1"/>
        <v>651.97</v>
      </c>
      <c r="P57" s="182">
        <f>(SUMPRODUCT(O58:O64,P58:P64)/O57)</f>
        <v>0</v>
      </c>
      <c r="Q57" s="183"/>
      <c r="R57" s="184">
        <f t="shared" ref="R57" si="32">P57+Q57</f>
        <v>0</v>
      </c>
      <c r="S57" s="182">
        <f t="shared" ref="S57" si="33">O57*P57</f>
        <v>0</v>
      </c>
      <c r="T57" s="185">
        <f t="shared" ref="T57" si="34">O57*Q57</f>
        <v>0</v>
      </c>
      <c r="U57" s="184">
        <f t="shared" ref="U57" si="35">S57+T57</f>
        <v>0</v>
      </c>
      <c r="V57" s="200"/>
      <c r="X57" s="60"/>
    </row>
    <row r="58" spans="1:24" s="59" customFormat="1" ht="25.5" customHeight="1" outlineLevel="1">
      <c r="A58" s="66" t="s">
        <v>46</v>
      </c>
      <c r="B58" s="202"/>
      <c r="C58" s="309" t="s">
        <v>18</v>
      </c>
      <c r="D58" s="265"/>
      <c r="E58" s="11" t="s">
        <v>4</v>
      </c>
      <c r="F58" s="92">
        <f>9.04+211.85</f>
        <v>220.89</v>
      </c>
      <c r="G58" s="92">
        <v>103.38</v>
      </c>
      <c r="H58" s="92">
        <v>327.7</v>
      </c>
      <c r="I58" s="92"/>
      <c r="J58" s="92"/>
      <c r="K58" s="92"/>
      <c r="L58" s="92"/>
      <c r="M58" s="92"/>
      <c r="N58" s="122"/>
      <c r="O58" s="123">
        <f t="shared" si="1"/>
        <v>651.97</v>
      </c>
      <c r="P58" s="188"/>
      <c r="Q58" s="189"/>
      <c r="R58" s="184"/>
      <c r="S58" s="182"/>
      <c r="T58" s="185"/>
      <c r="U58" s="184"/>
      <c r="V58" s="200"/>
      <c r="X58" s="60"/>
    </row>
    <row r="59" spans="1:24" s="59" customFormat="1" ht="25.5" customHeight="1" outlineLevel="1">
      <c r="A59" s="66" t="s">
        <v>47</v>
      </c>
      <c r="B59" s="202"/>
      <c r="C59" s="309" t="s">
        <v>17</v>
      </c>
      <c r="D59" s="316"/>
      <c r="E59" s="6" t="s">
        <v>4</v>
      </c>
      <c r="F59" s="92">
        <v>232.35</v>
      </c>
      <c r="G59" s="92">
        <v>102.86</v>
      </c>
      <c r="H59" s="92">
        <f>30.24+319.07</f>
        <v>349.31</v>
      </c>
      <c r="I59" s="92"/>
      <c r="J59" s="92"/>
      <c r="K59" s="92"/>
      <c r="L59" s="92"/>
      <c r="M59" s="92"/>
      <c r="N59" s="122"/>
      <c r="O59" s="123">
        <f t="shared" si="1"/>
        <v>684.52</v>
      </c>
      <c r="P59" s="188"/>
      <c r="Q59" s="189"/>
      <c r="R59" s="184"/>
      <c r="S59" s="182"/>
      <c r="T59" s="185"/>
      <c r="U59" s="184"/>
      <c r="V59" s="200"/>
      <c r="X59" s="60"/>
    </row>
    <row r="60" spans="1:24" s="59" customFormat="1" ht="25.5" customHeight="1" outlineLevel="1">
      <c r="A60" s="66" t="s">
        <v>75</v>
      </c>
      <c r="B60" s="204">
        <v>4100027470</v>
      </c>
      <c r="C60" s="194" t="s">
        <v>111</v>
      </c>
      <c r="D60" s="19">
        <v>50.4</v>
      </c>
      <c r="E60" s="19" t="s">
        <v>30</v>
      </c>
      <c r="F60" s="400">
        <f>223.31*D60</f>
        <v>11255</v>
      </c>
      <c r="G60" s="400">
        <f>8.56*D60</f>
        <v>431</v>
      </c>
      <c r="H60" s="92"/>
      <c r="I60" s="92"/>
      <c r="J60" s="92"/>
      <c r="K60" s="92"/>
      <c r="L60" s="92"/>
      <c r="M60" s="92"/>
      <c r="N60" s="122"/>
      <c r="O60" s="123">
        <f t="shared" si="1"/>
        <v>11686</v>
      </c>
      <c r="P60" s="188"/>
      <c r="Q60" s="106"/>
      <c r="R60" s="69"/>
      <c r="S60" s="70"/>
      <c r="T60" s="71"/>
      <c r="U60" s="69"/>
      <c r="V60" s="200"/>
      <c r="X60" s="60"/>
    </row>
    <row r="61" spans="1:24" s="59" customFormat="1" ht="25.5" customHeight="1" outlineLevel="1">
      <c r="A61" s="66" t="s">
        <v>76</v>
      </c>
      <c r="B61" s="204">
        <v>4100025823</v>
      </c>
      <c r="C61" s="194" t="s">
        <v>116</v>
      </c>
      <c r="D61" s="19">
        <v>50.4</v>
      </c>
      <c r="E61" s="19" t="s">
        <v>30</v>
      </c>
      <c r="F61" s="400">
        <f>9.04*D61</f>
        <v>456</v>
      </c>
      <c r="G61" s="400">
        <f>94.3*D61</f>
        <v>4753</v>
      </c>
      <c r="H61" s="400">
        <f>30.24*D61</f>
        <v>1524</v>
      </c>
      <c r="I61" s="92"/>
      <c r="J61" s="92"/>
      <c r="K61" s="92"/>
      <c r="L61" s="92"/>
      <c r="M61" s="92"/>
      <c r="N61" s="122"/>
      <c r="O61" s="123">
        <f t="shared" si="1"/>
        <v>6733</v>
      </c>
      <c r="P61" s="188"/>
      <c r="Q61" s="106"/>
      <c r="R61" s="69"/>
      <c r="S61" s="70"/>
      <c r="T61" s="71"/>
      <c r="U61" s="69"/>
      <c r="V61" s="200"/>
      <c r="X61" s="60"/>
    </row>
    <row r="62" spans="1:24" s="59" customFormat="1" ht="25.5" customHeight="1" outlineLevel="1">
      <c r="A62" s="66" t="s">
        <v>77</v>
      </c>
      <c r="B62" s="204">
        <v>4100025770</v>
      </c>
      <c r="C62" s="194" t="s">
        <v>114</v>
      </c>
      <c r="D62" s="19">
        <v>10.08</v>
      </c>
      <c r="E62" s="19" t="s">
        <v>30</v>
      </c>
      <c r="F62" s="92"/>
      <c r="G62" s="92"/>
      <c r="H62" s="400">
        <f>319.07*D62</f>
        <v>3216</v>
      </c>
      <c r="I62" s="92"/>
      <c r="J62" s="92"/>
      <c r="K62" s="92"/>
      <c r="L62" s="92"/>
      <c r="M62" s="92"/>
      <c r="N62" s="122"/>
      <c r="O62" s="123">
        <f t="shared" ref="O62:O85" si="36">SUM(F62:N62)</f>
        <v>3216</v>
      </c>
      <c r="P62" s="188"/>
      <c r="Q62" s="106"/>
      <c r="R62" s="69"/>
      <c r="S62" s="70"/>
      <c r="T62" s="71"/>
      <c r="U62" s="69"/>
      <c r="V62" s="200"/>
      <c r="X62" s="60"/>
    </row>
    <row r="63" spans="1:24" s="59" customFormat="1" ht="25.5" customHeight="1" outlineLevel="1">
      <c r="A63" s="66" t="s">
        <v>78</v>
      </c>
      <c r="B63" s="204">
        <v>4100025771</v>
      </c>
      <c r="C63" s="194" t="s">
        <v>115</v>
      </c>
      <c r="D63" s="19">
        <v>40.32</v>
      </c>
      <c r="E63" s="19" t="s">
        <v>30</v>
      </c>
      <c r="F63" s="92"/>
      <c r="G63" s="92"/>
      <c r="H63" s="400">
        <f>319.07*D63</f>
        <v>12865</v>
      </c>
      <c r="I63" s="92"/>
      <c r="J63" s="92"/>
      <c r="K63" s="92"/>
      <c r="L63" s="92"/>
      <c r="M63" s="92"/>
      <c r="N63" s="122"/>
      <c r="O63" s="123">
        <f t="shared" si="36"/>
        <v>12865</v>
      </c>
      <c r="P63" s="188"/>
      <c r="Q63" s="106"/>
      <c r="R63" s="69"/>
      <c r="S63" s="70"/>
      <c r="T63" s="71"/>
      <c r="U63" s="69"/>
      <c r="V63" s="200"/>
      <c r="X63" s="60"/>
    </row>
    <row r="64" spans="1:24" s="59" customFormat="1" ht="26.25" customHeight="1" outlineLevel="1">
      <c r="A64" s="66" t="s">
        <v>79</v>
      </c>
      <c r="B64" s="202"/>
      <c r="C64" s="308" t="s">
        <v>32</v>
      </c>
      <c r="D64" s="249">
        <v>51</v>
      </c>
      <c r="E64" s="23" t="s">
        <v>31</v>
      </c>
      <c r="F64" s="92">
        <f>232.35*D64</f>
        <v>11849.85</v>
      </c>
      <c r="G64" s="92">
        <f>102.86*D64</f>
        <v>5245.86</v>
      </c>
      <c r="H64" s="92">
        <f>349.31*D64</f>
        <v>17814.810000000001</v>
      </c>
      <c r="I64" s="92"/>
      <c r="J64" s="92"/>
      <c r="K64" s="92"/>
      <c r="L64" s="92"/>
      <c r="M64" s="92"/>
      <c r="N64" s="122"/>
      <c r="O64" s="123">
        <f t="shared" si="36"/>
        <v>34910.519999999997</v>
      </c>
      <c r="P64" s="188"/>
      <c r="Q64" s="106"/>
      <c r="R64" s="69"/>
      <c r="S64" s="70"/>
      <c r="T64" s="71"/>
      <c r="U64" s="69"/>
      <c r="V64" s="199"/>
      <c r="X64" s="60"/>
    </row>
    <row r="65" spans="1:24" s="59" customFormat="1" ht="45.75" customHeight="1" outlineLevel="1">
      <c r="A65" s="66" t="s">
        <v>21</v>
      </c>
      <c r="B65" s="202"/>
      <c r="C65" s="90" t="s">
        <v>147</v>
      </c>
      <c r="D65" s="315"/>
      <c r="E65" s="107" t="s">
        <v>4</v>
      </c>
      <c r="F65" s="102"/>
      <c r="G65" s="102"/>
      <c r="H65" s="102">
        <v>3.87</v>
      </c>
      <c r="I65" s="102"/>
      <c r="J65" s="102"/>
      <c r="K65" s="102"/>
      <c r="L65" s="102"/>
      <c r="M65" s="102"/>
      <c r="N65" s="121"/>
      <c r="O65" s="190">
        <f t="shared" si="36"/>
        <v>3.87</v>
      </c>
      <c r="P65" s="182">
        <f>(SUMPRODUCT(O66:O69,P66:P69)/O65)</f>
        <v>0</v>
      </c>
      <c r="Q65" s="183"/>
      <c r="R65" s="184">
        <f t="shared" ref="R65" si="37">P65+Q65</f>
        <v>0</v>
      </c>
      <c r="S65" s="182">
        <f t="shared" ref="S65" si="38">O65*P65</f>
        <v>0</v>
      </c>
      <c r="T65" s="185">
        <f t="shared" ref="T65" si="39">O65*Q65</f>
        <v>0</v>
      </c>
      <c r="U65" s="184">
        <f t="shared" ref="U65" si="40">S65+T65</f>
        <v>0</v>
      </c>
      <c r="V65" s="200"/>
      <c r="X65" s="60"/>
    </row>
    <row r="66" spans="1:24" s="59" customFormat="1" ht="27" customHeight="1" outlineLevel="1">
      <c r="A66" s="66" t="s">
        <v>48</v>
      </c>
      <c r="B66" s="205"/>
      <c r="C66" s="309" t="s">
        <v>17</v>
      </c>
      <c r="D66" s="319"/>
      <c r="E66" s="19" t="s">
        <v>4</v>
      </c>
      <c r="F66" s="195"/>
      <c r="G66" s="195"/>
      <c r="H66" s="192">
        <v>3.87</v>
      </c>
      <c r="I66" s="195"/>
      <c r="J66" s="195"/>
      <c r="K66" s="195"/>
      <c r="L66" s="195"/>
      <c r="M66" s="195"/>
      <c r="N66" s="196"/>
      <c r="O66" s="123">
        <f t="shared" si="36"/>
        <v>3.87</v>
      </c>
      <c r="P66" s="188"/>
      <c r="Q66" s="189"/>
      <c r="R66" s="184"/>
      <c r="S66" s="182"/>
      <c r="T66" s="185"/>
      <c r="U66" s="184"/>
      <c r="V66" s="200"/>
      <c r="X66" s="60"/>
    </row>
    <row r="67" spans="1:24" s="59" customFormat="1" ht="23.25" customHeight="1" outlineLevel="1">
      <c r="A67" s="66" t="s">
        <v>49</v>
      </c>
      <c r="B67" s="204">
        <v>4100025770</v>
      </c>
      <c r="C67" s="194" t="s">
        <v>114</v>
      </c>
      <c r="D67" s="19">
        <v>10.08</v>
      </c>
      <c r="E67" s="19" t="s">
        <v>30</v>
      </c>
      <c r="F67" s="92"/>
      <c r="G67" s="92"/>
      <c r="H67" s="400">
        <f>3.87*D67</f>
        <v>39</v>
      </c>
      <c r="I67" s="92"/>
      <c r="J67" s="92"/>
      <c r="K67" s="92"/>
      <c r="L67" s="92"/>
      <c r="M67" s="92"/>
      <c r="N67" s="122"/>
      <c r="O67" s="123">
        <f t="shared" si="36"/>
        <v>39</v>
      </c>
      <c r="P67" s="188"/>
      <c r="Q67" s="189"/>
      <c r="R67" s="184"/>
      <c r="S67" s="182"/>
      <c r="T67" s="185"/>
      <c r="U67" s="184"/>
      <c r="V67" s="201"/>
      <c r="X67" s="60"/>
    </row>
    <row r="68" spans="1:24" s="59" customFormat="1" ht="23.25" customHeight="1" outlineLevel="1">
      <c r="A68" s="66" t="s">
        <v>50</v>
      </c>
      <c r="B68" s="204">
        <v>4100025771</v>
      </c>
      <c r="C68" s="194" t="s">
        <v>115</v>
      </c>
      <c r="D68" s="19">
        <v>40.32</v>
      </c>
      <c r="E68" s="19" t="s">
        <v>30</v>
      </c>
      <c r="F68" s="17"/>
      <c r="G68" s="17"/>
      <c r="H68" s="400">
        <f>3.87*D68</f>
        <v>156</v>
      </c>
      <c r="I68" s="92"/>
      <c r="J68" s="92"/>
      <c r="K68" s="92"/>
      <c r="L68" s="92"/>
      <c r="M68" s="92"/>
      <c r="N68" s="122"/>
      <c r="O68" s="123">
        <f t="shared" si="36"/>
        <v>156</v>
      </c>
      <c r="P68" s="188"/>
      <c r="Q68" s="106"/>
      <c r="R68" s="69"/>
      <c r="S68" s="70"/>
      <c r="T68" s="71"/>
      <c r="U68" s="69"/>
      <c r="V68" s="201"/>
      <c r="X68" s="60"/>
    </row>
    <row r="69" spans="1:24" s="59" customFormat="1" ht="23.25" customHeight="1" outlineLevel="1">
      <c r="A69" s="66" t="s">
        <v>80</v>
      </c>
      <c r="B69" s="206"/>
      <c r="C69" s="308" t="s">
        <v>32</v>
      </c>
      <c r="D69" s="249">
        <v>51</v>
      </c>
      <c r="E69" s="23" t="s">
        <v>31</v>
      </c>
      <c r="F69" s="192"/>
      <c r="G69" s="192"/>
      <c r="H69" s="192">
        <f>3.87*D69</f>
        <v>197.37</v>
      </c>
      <c r="I69" s="192"/>
      <c r="J69" s="192"/>
      <c r="K69" s="192"/>
      <c r="L69" s="192"/>
      <c r="M69" s="192"/>
      <c r="N69" s="122"/>
      <c r="O69" s="123">
        <f t="shared" si="36"/>
        <v>197.37</v>
      </c>
      <c r="P69" s="188"/>
      <c r="Q69" s="106"/>
      <c r="R69" s="69"/>
      <c r="S69" s="70"/>
      <c r="T69" s="71"/>
      <c r="U69" s="69"/>
      <c r="V69" s="200"/>
      <c r="X69" s="60"/>
    </row>
    <row r="70" spans="1:24" s="59" customFormat="1" ht="31.5" customHeight="1" outlineLevel="1">
      <c r="A70" s="66" t="s">
        <v>51</v>
      </c>
      <c r="B70" s="207"/>
      <c r="C70" s="317" t="s">
        <v>148</v>
      </c>
      <c r="D70" s="320"/>
      <c r="E70" s="133" t="s">
        <v>4</v>
      </c>
      <c r="F70" s="102">
        <v>90.09</v>
      </c>
      <c r="G70" s="102"/>
      <c r="H70" s="102">
        <v>90.09</v>
      </c>
      <c r="I70" s="197"/>
      <c r="J70" s="17"/>
      <c r="K70" s="17"/>
      <c r="L70" s="17"/>
      <c r="M70" s="92"/>
      <c r="N70" s="122"/>
      <c r="O70" s="190">
        <f t="shared" si="36"/>
        <v>180.18</v>
      </c>
      <c r="P70" s="182">
        <f>(SUMPRODUCT(O71:O73,P71:P73)/O70)</f>
        <v>0</v>
      </c>
      <c r="Q70" s="183"/>
      <c r="R70" s="184">
        <f t="shared" ref="R70" si="41">P70+Q70</f>
        <v>0</v>
      </c>
      <c r="S70" s="182">
        <f t="shared" ref="S70" si="42">O70*P70</f>
        <v>0</v>
      </c>
      <c r="T70" s="185">
        <f t="shared" ref="T70" si="43">O70*Q70</f>
        <v>0</v>
      </c>
      <c r="U70" s="184">
        <f t="shared" ref="U70" si="44">S70+T70</f>
        <v>0</v>
      </c>
      <c r="V70" s="200"/>
      <c r="X70" s="60"/>
    </row>
    <row r="71" spans="1:24" s="59" customFormat="1" ht="25.5" customHeight="1" outlineLevel="1">
      <c r="A71" s="66" t="s">
        <v>52</v>
      </c>
      <c r="B71" s="207"/>
      <c r="C71" s="309" t="s">
        <v>18</v>
      </c>
      <c r="D71" s="265"/>
      <c r="E71" s="11" t="s">
        <v>4</v>
      </c>
      <c r="F71" s="92">
        <v>90.09</v>
      </c>
      <c r="G71" s="92"/>
      <c r="H71" s="92">
        <v>90.09</v>
      </c>
      <c r="I71" s="17"/>
      <c r="J71" s="17"/>
      <c r="K71" s="17"/>
      <c r="L71" s="17"/>
      <c r="M71" s="92"/>
      <c r="N71" s="122"/>
      <c r="O71" s="99">
        <f t="shared" si="36"/>
        <v>180.18</v>
      </c>
      <c r="P71" s="188"/>
      <c r="Q71" s="189"/>
      <c r="R71" s="184"/>
      <c r="S71" s="182"/>
      <c r="T71" s="185"/>
      <c r="U71" s="184"/>
      <c r="V71" s="200"/>
      <c r="X71" s="60"/>
    </row>
    <row r="72" spans="1:24" s="59" customFormat="1" ht="25.5" customHeight="1" outlineLevel="1">
      <c r="A72" s="66" t="s">
        <v>53</v>
      </c>
      <c r="B72" s="207"/>
      <c r="C72" s="309" t="s">
        <v>17</v>
      </c>
      <c r="D72" s="263"/>
      <c r="E72" s="11" t="s">
        <v>4</v>
      </c>
      <c r="F72" s="92">
        <v>90.09</v>
      </c>
      <c r="G72" s="92"/>
      <c r="H72" s="92">
        <v>90.09</v>
      </c>
      <c r="I72" s="17"/>
      <c r="J72" s="17"/>
      <c r="K72" s="17"/>
      <c r="L72" s="17"/>
      <c r="M72" s="92"/>
      <c r="N72" s="122"/>
      <c r="O72" s="99">
        <f t="shared" ref="O72:O73" si="45">SUM(F72:N72)</f>
        <v>180.18</v>
      </c>
      <c r="P72" s="188"/>
      <c r="Q72" s="189"/>
      <c r="R72" s="184"/>
      <c r="S72" s="182"/>
      <c r="T72" s="185"/>
      <c r="U72" s="184"/>
      <c r="V72" s="200"/>
      <c r="X72" s="60"/>
    </row>
    <row r="73" spans="1:24" s="59" customFormat="1" ht="25.5" customHeight="1" outlineLevel="1">
      <c r="A73" s="66" t="s">
        <v>54</v>
      </c>
      <c r="B73" s="207"/>
      <c r="C73" s="308" t="s">
        <v>130</v>
      </c>
      <c r="D73" s="263"/>
      <c r="E73" s="11" t="s">
        <v>4</v>
      </c>
      <c r="F73" s="92">
        <v>70.12</v>
      </c>
      <c r="G73" s="92"/>
      <c r="H73" s="92">
        <v>70.12</v>
      </c>
      <c r="I73" s="17"/>
      <c r="J73" s="17"/>
      <c r="K73" s="17"/>
      <c r="L73" s="17"/>
      <c r="M73" s="92"/>
      <c r="N73" s="122"/>
      <c r="O73" s="99">
        <f t="shared" si="45"/>
        <v>140.24</v>
      </c>
      <c r="P73" s="188"/>
      <c r="Q73" s="106"/>
      <c r="R73" s="69"/>
      <c r="S73" s="70"/>
      <c r="T73" s="71"/>
      <c r="U73" s="69"/>
      <c r="V73" s="200"/>
      <c r="X73" s="60"/>
    </row>
    <row r="74" spans="1:24" s="59" customFormat="1" ht="32.25" customHeight="1" outlineLevel="1">
      <c r="A74" s="66" t="s">
        <v>22</v>
      </c>
      <c r="B74" s="208"/>
      <c r="C74" s="229" t="s">
        <v>119</v>
      </c>
      <c r="D74" s="321"/>
      <c r="E74" s="2" t="s">
        <v>4</v>
      </c>
      <c r="F74" s="9">
        <v>28.38</v>
      </c>
      <c r="G74" s="9">
        <v>47.65</v>
      </c>
      <c r="H74" s="18">
        <v>30.27</v>
      </c>
      <c r="I74" s="18"/>
      <c r="J74" s="18"/>
      <c r="K74" s="18"/>
      <c r="L74" s="18"/>
      <c r="M74" s="18"/>
      <c r="N74" s="114"/>
      <c r="O74" s="99">
        <f t="shared" si="36"/>
        <v>106.3</v>
      </c>
      <c r="P74" s="188"/>
      <c r="Q74" s="198"/>
      <c r="R74" s="7">
        <f>P74+Q74</f>
        <v>0</v>
      </c>
      <c r="S74" s="8">
        <f>O74*P74</f>
        <v>0</v>
      </c>
      <c r="T74" s="9">
        <f>O74*Q74</f>
        <v>0</v>
      </c>
      <c r="U74" s="7">
        <f>S74+T74</f>
        <v>0</v>
      </c>
      <c r="V74" s="200"/>
      <c r="X74" s="60"/>
    </row>
    <row r="75" spans="1:24" s="59" customFormat="1" ht="32.25" customHeight="1" outlineLevel="1">
      <c r="A75" s="66" t="s">
        <v>55</v>
      </c>
      <c r="B75" s="209"/>
      <c r="C75" s="229" t="s">
        <v>120</v>
      </c>
      <c r="D75" s="321"/>
      <c r="E75" s="12" t="s">
        <v>121</v>
      </c>
      <c r="F75" s="9">
        <v>63.12</v>
      </c>
      <c r="G75" s="9">
        <v>279.41000000000003</v>
      </c>
      <c r="H75" s="18">
        <v>26.22</v>
      </c>
      <c r="I75" s="18"/>
      <c r="J75" s="18"/>
      <c r="K75" s="18"/>
      <c r="L75" s="18"/>
      <c r="M75" s="18"/>
      <c r="N75" s="114"/>
      <c r="O75" s="99">
        <f t="shared" si="36"/>
        <v>368.75</v>
      </c>
      <c r="P75" s="4"/>
      <c r="Q75" s="4"/>
      <c r="R75" s="7">
        <f t="shared" ref="R75" si="46">P75+Q75</f>
        <v>0</v>
      </c>
      <c r="S75" s="8">
        <f>O75*P75</f>
        <v>0</v>
      </c>
      <c r="T75" s="9">
        <f>O75*Q75</f>
        <v>0</v>
      </c>
      <c r="U75" s="7">
        <f>S75+T75</f>
        <v>0</v>
      </c>
      <c r="V75" s="200" t="s">
        <v>149</v>
      </c>
      <c r="X75" s="60"/>
    </row>
    <row r="76" spans="1:24" s="59" customFormat="1" ht="46.5" customHeight="1">
      <c r="A76" s="245" t="s">
        <v>158</v>
      </c>
      <c r="B76" s="109"/>
      <c r="C76" s="318" t="s">
        <v>368</v>
      </c>
      <c r="D76" s="322"/>
      <c r="E76" s="111"/>
      <c r="F76" s="112"/>
      <c r="G76" s="246"/>
      <c r="H76" s="83"/>
      <c r="I76" s="83"/>
      <c r="J76" s="83"/>
      <c r="K76" s="83"/>
      <c r="L76" s="83"/>
      <c r="M76" s="83"/>
      <c r="N76" s="146"/>
      <c r="O76" s="98"/>
      <c r="P76" s="95"/>
      <c r="Q76" s="84"/>
      <c r="R76" s="85"/>
      <c r="S76" s="210">
        <f>SUM(S77:S85)</f>
        <v>0</v>
      </c>
      <c r="T76" s="211">
        <f>SUM(T77:T85)</f>
        <v>0</v>
      </c>
      <c r="U76" s="212">
        <f>T76+S76</f>
        <v>0</v>
      </c>
      <c r="V76" s="289"/>
      <c r="X76" s="60"/>
    </row>
    <row r="77" spans="1:24" s="59" customFormat="1" ht="37.5" customHeight="1" outlineLevel="1">
      <c r="A77" s="66" t="s">
        <v>187</v>
      </c>
      <c r="B77" s="91"/>
      <c r="C77" s="90" t="s">
        <v>82</v>
      </c>
      <c r="D77" s="323"/>
      <c r="E77" s="67" t="s">
        <v>4</v>
      </c>
      <c r="F77" s="18">
        <v>624.47</v>
      </c>
      <c r="G77" s="18">
        <v>479.09</v>
      </c>
      <c r="H77" s="18">
        <v>150.37</v>
      </c>
      <c r="I77" s="18"/>
      <c r="J77" s="18"/>
      <c r="K77" s="18"/>
      <c r="L77" s="18"/>
      <c r="M77" s="18"/>
      <c r="N77" s="114"/>
      <c r="O77" s="99">
        <f>SUM(F77:N77)</f>
        <v>1253.93</v>
      </c>
      <c r="P77" s="4"/>
      <c r="Q77" s="4"/>
      <c r="R77" s="7">
        <f t="shared" ref="R77:R84" si="47">P77+Q77</f>
        <v>0</v>
      </c>
      <c r="S77" s="8">
        <f t="shared" ref="S77:S84" si="48">O77*P77</f>
        <v>0</v>
      </c>
      <c r="T77" s="9">
        <f t="shared" ref="T77:T84" si="49">O77*Q77</f>
        <v>0</v>
      </c>
      <c r="U77" s="7">
        <f t="shared" ref="U77:U84" si="50">S77+T77</f>
        <v>0</v>
      </c>
      <c r="V77" s="200"/>
      <c r="X77" s="60"/>
    </row>
    <row r="78" spans="1:24" s="59" customFormat="1" ht="37.5" customHeight="1" outlineLevel="1">
      <c r="A78" s="66" t="s">
        <v>188</v>
      </c>
      <c r="B78" s="91"/>
      <c r="C78" s="90" t="s">
        <v>83</v>
      </c>
      <c r="D78" s="323"/>
      <c r="E78" s="67" t="s">
        <v>4</v>
      </c>
      <c r="F78" s="18"/>
      <c r="G78" s="18">
        <v>11.25</v>
      </c>
      <c r="H78" s="18">
        <v>5.58</v>
      </c>
      <c r="I78" s="18"/>
      <c r="J78" s="18"/>
      <c r="K78" s="18"/>
      <c r="L78" s="18"/>
      <c r="M78" s="18"/>
      <c r="N78" s="114"/>
      <c r="O78" s="99">
        <f t="shared" si="36"/>
        <v>16.829999999999998</v>
      </c>
      <c r="P78" s="4"/>
      <c r="Q78" s="4"/>
      <c r="R78" s="7">
        <f t="shared" si="47"/>
        <v>0</v>
      </c>
      <c r="S78" s="8">
        <f t="shared" si="48"/>
        <v>0</v>
      </c>
      <c r="T78" s="9">
        <f t="shared" si="49"/>
        <v>0</v>
      </c>
      <c r="U78" s="7">
        <f t="shared" si="50"/>
        <v>0</v>
      </c>
      <c r="V78" s="200"/>
      <c r="X78" s="60"/>
    </row>
    <row r="79" spans="1:24" s="59" customFormat="1" ht="37.5" customHeight="1" outlineLevel="1">
      <c r="A79" s="66" t="s">
        <v>189</v>
      </c>
      <c r="B79" s="91"/>
      <c r="C79" s="90" t="s">
        <v>154</v>
      </c>
      <c r="D79" s="323"/>
      <c r="E79" s="67" t="s">
        <v>4</v>
      </c>
      <c r="F79" s="18">
        <v>21.26</v>
      </c>
      <c r="G79" s="18">
        <v>26.03</v>
      </c>
      <c r="H79" s="18">
        <v>30.52</v>
      </c>
      <c r="I79" s="18"/>
      <c r="J79" s="18"/>
      <c r="K79" s="18"/>
      <c r="L79" s="18"/>
      <c r="M79" s="18"/>
      <c r="N79" s="114"/>
      <c r="O79" s="99">
        <f t="shared" si="36"/>
        <v>77.81</v>
      </c>
      <c r="P79" s="4"/>
      <c r="Q79" s="4"/>
      <c r="R79" s="7">
        <f t="shared" si="47"/>
        <v>0</v>
      </c>
      <c r="S79" s="8">
        <f t="shared" si="48"/>
        <v>0</v>
      </c>
      <c r="T79" s="9">
        <f t="shared" si="49"/>
        <v>0</v>
      </c>
      <c r="U79" s="7">
        <f t="shared" si="50"/>
        <v>0</v>
      </c>
      <c r="V79" s="200"/>
      <c r="X79" s="60"/>
    </row>
    <row r="80" spans="1:24" s="59" customFormat="1" ht="37.5" customHeight="1" outlineLevel="1">
      <c r="A80" s="66" t="s">
        <v>190</v>
      </c>
      <c r="B80" s="91"/>
      <c r="C80" s="90" t="s">
        <v>15</v>
      </c>
      <c r="D80" s="323"/>
      <c r="E80" s="67" t="s">
        <v>4</v>
      </c>
      <c r="F80" s="18">
        <f>772.96+9.34</f>
        <v>782.3</v>
      </c>
      <c r="G80" s="18">
        <v>1189.58</v>
      </c>
      <c r="H80" s="18">
        <v>814.3</v>
      </c>
      <c r="I80" s="18"/>
      <c r="J80" s="18"/>
      <c r="K80" s="18"/>
      <c r="L80" s="18"/>
      <c r="M80" s="18"/>
      <c r="N80" s="114"/>
      <c r="O80" s="99">
        <f t="shared" si="36"/>
        <v>2786.18</v>
      </c>
      <c r="P80" s="4"/>
      <c r="Q80" s="4"/>
      <c r="R80" s="7">
        <f t="shared" si="47"/>
        <v>0</v>
      </c>
      <c r="S80" s="8">
        <f t="shared" si="48"/>
        <v>0</v>
      </c>
      <c r="T80" s="9">
        <f t="shared" si="49"/>
        <v>0</v>
      </c>
      <c r="U80" s="7">
        <f t="shared" si="50"/>
        <v>0</v>
      </c>
      <c r="V80" s="200" t="s">
        <v>122</v>
      </c>
      <c r="X80" s="60"/>
    </row>
    <row r="81" spans="1:24" s="59" customFormat="1" ht="37.5" customHeight="1" outlineLevel="1">
      <c r="A81" s="66" t="s">
        <v>191</v>
      </c>
      <c r="B81" s="91"/>
      <c r="C81" s="90" t="s">
        <v>14</v>
      </c>
      <c r="D81" s="323"/>
      <c r="E81" s="67" t="s">
        <v>4</v>
      </c>
      <c r="F81" s="18">
        <v>94.87</v>
      </c>
      <c r="G81" s="18">
        <v>123.43</v>
      </c>
      <c r="H81" s="18">
        <v>83.54</v>
      </c>
      <c r="I81" s="18"/>
      <c r="J81" s="18"/>
      <c r="K81" s="18"/>
      <c r="L81" s="18"/>
      <c r="M81" s="18"/>
      <c r="N81" s="114"/>
      <c r="O81" s="99">
        <f t="shared" si="36"/>
        <v>301.83999999999997</v>
      </c>
      <c r="P81" s="4"/>
      <c r="Q81" s="4"/>
      <c r="R81" s="7">
        <f t="shared" si="47"/>
        <v>0</v>
      </c>
      <c r="S81" s="8">
        <f t="shared" si="48"/>
        <v>0</v>
      </c>
      <c r="T81" s="9">
        <f t="shared" si="49"/>
        <v>0</v>
      </c>
      <c r="U81" s="7">
        <f t="shared" si="50"/>
        <v>0</v>
      </c>
      <c r="V81" s="200"/>
      <c r="X81" s="60"/>
    </row>
    <row r="82" spans="1:24" s="59" customFormat="1" ht="37.5" customHeight="1" outlineLevel="1">
      <c r="A82" s="66" t="s">
        <v>192</v>
      </c>
      <c r="B82" s="91"/>
      <c r="C82" s="90" t="s">
        <v>118</v>
      </c>
      <c r="D82" s="323"/>
      <c r="E82" s="67" t="s">
        <v>4</v>
      </c>
      <c r="F82" s="18">
        <v>27.05</v>
      </c>
      <c r="G82" s="18">
        <v>284.98</v>
      </c>
      <c r="H82" s="18">
        <v>94.71</v>
      </c>
      <c r="I82" s="18"/>
      <c r="J82" s="18"/>
      <c r="K82" s="18"/>
      <c r="L82" s="18"/>
      <c r="M82" s="18"/>
      <c r="N82" s="114"/>
      <c r="O82" s="99">
        <f t="shared" si="36"/>
        <v>406.74</v>
      </c>
      <c r="P82" s="4"/>
      <c r="Q82" s="4"/>
      <c r="R82" s="7">
        <f t="shared" si="47"/>
        <v>0</v>
      </c>
      <c r="S82" s="8">
        <f t="shared" si="48"/>
        <v>0</v>
      </c>
      <c r="T82" s="9">
        <f t="shared" si="49"/>
        <v>0</v>
      </c>
      <c r="U82" s="7">
        <f t="shared" si="50"/>
        <v>0</v>
      </c>
      <c r="V82" s="200"/>
      <c r="X82" s="60"/>
    </row>
    <row r="83" spans="1:24" s="59" customFormat="1" ht="37.5" customHeight="1" outlineLevel="1">
      <c r="A83" s="66" t="s">
        <v>193</v>
      </c>
      <c r="B83" s="91"/>
      <c r="C83" s="90" t="s">
        <v>23</v>
      </c>
      <c r="D83" s="323"/>
      <c r="E83" s="67" t="s">
        <v>4</v>
      </c>
      <c r="F83" s="18">
        <v>319.83999999999997</v>
      </c>
      <c r="G83" s="18">
        <v>573.05999999999995</v>
      </c>
      <c r="H83" s="18">
        <v>345.16</v>
      </c>
      <c r="I83" s="18"/>
      <c r="J83" s="18"/>
      <c r="K83" s="18"/>
      <c r="L83" s="18"/>
      <c r="M83" s="18"/>
      <c r="N83" s="114"/>
      <c r="O83" s="99">
        <f t="shared" si="36"/>
        <v>1238.06</v>
      </c>
      <c r="P83" s="4"/>
      <c r="Q83" s="4"/>
      <c r="R83" s="7">
        <f t="shared" si="47"/>
        <v>0</v>
      </c>
      <c r="S83" s="8">
        <f t="shared" si="48"/>
        <v>0</v>
      </c>
      <c r="T83" s="9">
        <f t="shared" si="49"/>
        <v>0</v>
      </c>
      <c r="U83" s="7">
        <f t="shared" si="50"/>
        <v>0</v>
      </c>
      <c r="V83" s="200"/>
      <c r="X83" s="60"/>
    </row>
    <row r="84" spans="1:24" s="59" customFormat="1" ht="37.5" customHeight="1" outlineLevel="1">
      <c r="A84" s="66" t="s">
        <v>194</v>
      </c>
      <c r="B84" s="91"/>
      <c r="C84" s="90" t="s">
        <v>85</v>
      </c>
      <c r="D84" s="323"/>
      <c r="E84" s="67" t="s">
        <v>86</v>
      </c>
      <c r="F84" s="18">
        <v>18.96</v>
      </c>
      <c r="G84" s="433">
        <v>7</v>
      </c>
      <c r="H84" s="18">
        <v>37.54</v>
      </c>
      <c r="I84" s="18"/>
      <c r="J84" s="18"/>
      <c r="K84" s="18"/>
      <c r="L84" s="18"/>
      <c r="M84" s="18"/>
      <c r="N84" s="114"/>
      <c r="O84" s="99">
        <f t="shared" si="36"/>
        <v>63.5</v>
      </c>
      <c r="P84" s="4"/>
      <c r="Q84" s="4"/>
      <c r="R84" s="7">
        <f t="shared" si="47"/>
        <v>0</v>
      </c>
      <c r="S84" s="8">
        <f t="shared" si="48"/>
        <v>0</v>
      </c>
      <c r="T84" s="9">
        <f t="shared" si="49"/>
        <v>0</v>
      </c>
      <c r="U84" s="7">
        <f t="shared" si="50"/>
        <v>0</v>
      </c>
      <c r="V84" s="200"/>
      <c r="X84" s="60"/>
    </row>
    <row r="85" spans="1:24" s="59" customFormat="1" ht="34.5" customHeight="1" outlineLevel="1">
      <c r="A85" s="66" t="s">
        <v>364</v>
      </c>
      <c r="B85" s="336"/>
      <c r="C85" s="90" t="s">
        <v>365</v>
      </c>
      <c r="D85" s="323"/>
      <c r="E85" s="67" t="s">
        <v>4</v>
      </c>
      <c r="F85" s="238">
        <v>3.9</v>
      </c>
      <c r="G85" s="238">
        <v>2</v>
      </c>
      <c r="H85" s="238">
        <v>7.3</v>
      </c>
      <c r="I85" s="238"/>
      <c r="J85" s="238"/>
      <c r="K85" s="238"/>
      <c r="L85" s="238"/>
      <c r="M85" s="238"/>
      <c r="N85" s="237"/>
      <c r="O85" s="99">
        <f t="shared" si="36"/>
        <v>13.2</v>
      </c>
      <c r="P85" s="183"/>
      <c r="Q85" s="183"/>
      <c r="R85" s="7">
        <f t="shared" ref="R85" si="51">P85+Q85</f>
        <v>0</v>
      </c>
      <c r="S85" s="8">
        <f t="shared" ref="S85" si="52">O85*P85</f>
        <v>0</v>
      </c>
      <c r="T85" s="9">
        <f t="shared" ref="T85" si="53">O85*Q85</f>
        <v>0</v>
      </c>
      <c r="U85" s="7">
        <f t="shared" ref="U85" si="54">S85+T85</f>
        <v>0</v>
      </c>
      <c r="V85" s="200"/>
      <c r="X85" s="60"/>
    </row>
    <row r="86" spans="1:24" s="59" customFormat="1" ht="37.5" customHeight="1">
      <c r="A86" s="214">
        <v>2</v>
      </c>
      <c r="B86" s="228"/>
      <c r="C86" s="324" t="s">
        <v>409</v>
      </c>
      <c r="D86" s="326"/>
      <c r="E86" s="217"/>
      <c r="F86" s="217"/>
      <c r="G86" s="217"/>
      <c r="H86" s="217"/>
      <c r="I86" s="217"/>
      <c r="J86" s="217"/>
      <c r="K86" s="217"/>
      <c r="L86" s="217"/>
      <c r="M86" s="217"/>
      <c r="N86" s="218"/>
      <c r="O86" s="219"/>
      <c r="P86" s="220"/>
      <c r="Q86" s="221"/>
      <c r="R86" s="222"/>
      <c r="S86" s="223">
        <f>S87+S182</f>
        <v>0</v>
      </c>
      <c r="T86" s="224">
        <f>T87+T182</f>
        <v>0</v>
      </c>
      <c r="U86" s="225">
        <f>T86+S86</f>
        <v>0</v>
      </c>
      <c r="V86" s="288"/>
      <c r="X86" s="60"/>
    </row>
    <row r="87" spans="1:24" s="59" customFormat="1" ht="35.25" customHeight="1">
      <c r="A87" s="213" t="s">
        <v>35</v>
      </c>
      <c r="B87" s="80"/>
      <c r="C87" s="325" t="s">
        <v>106</v>
      </c>
      <c r="D87" s="327"/>
      <c r="E87" s="82"/>
      <c r="F87" s="83"/>
      <c r="G87" s="83"/>
      <c r="H87" s="83"/>
      <c r="I87" s="83"/>
      <c r="J87" s="83"/>
      <c r="K87" s="83"/>
      <c r="L87" s="83"/>
      <c r="M87" s="83"/>
      <c r="N87" s="146"/>
      <c r="O87" s="98"/>
      <c r="P87" s="95"/>
      <c r="Q87" s="84"/>
      <c r="R87" s="85"/>
      <c r="S87" s="226">
        <f>SUM(S88:S181)</f>
        <v>0</v>
      </c>
      <c r="T87" s="247">
        <f>SUM(T88:T181)</f>
        <v>0</v>
      </c>
      <c r="U87" s="212">
        <f>T87+S87</f>
        <v>0</v>
      </c>
      <c r="V87" s="289"/>
      <c r="X87" s="60"/>
    </row>
    <row r="88" spans="1:24" s="59" customFormat="1" ht="38.25" customHeight="1" outlineLevel="1">
      <c r="A88" s="66" t="s">
        <v>159</v>
      </c>
      <c r="B88" s="202"/>
      <c r="C88" s="89" t="s">
        <v>421</v>
      </c>
      <c r="D88" s="321"/>
      <c r="E88" s="100" t="s">
        <v>4</v>
      </c>
      <c r="F88" s="101">
        <f>F89</f>
        <v>16.809999999999999</v>
      </c>
      <c r="G88" s="102"/>
      <c r="H88" s="102">
        <f>H89</f>
        <v>8.57</v>
      </c>
      <c r="I88" s="102">
        <f>I89</f>
        <v>10.65</v>
      </c>
      <c r="J88" s="102">
        <f>J89</f>
        <v>6</v>
      </c>
      <c r="K88" s="102">
        <f>K89</f>
        <v>4.32</v>
      </c>
      <c r="L88" s="18"/>
      <c r="M88" s="18"/>
      <c r="N88" s="114"/>
      <c r="O88" s="190">
        <f>SUM(F88:N88)</f>
        <v>46.35</v>
      </c>
      <c r="P88" s="182">
        <f>P89*O89/O88</f>
        <v>0</v>
      </c>
      <c r="Q88" s="183"/>
      <c r="R88" s="184">
        <f t="shared" ref="R88" si="55">P88+Q88</f>
        <v>0</v>
      </c>
      <c r="S88" s="182">
        <f>O88*P88</f>
        <v>0</v>
      </c>
      <c r="T88" s="185">
        <f>O88*Q88</f>
        <v>0</v>
      </c>
      <c r="U88" s="184">
        <f>S88+T88</f>
        <v>0</v>
      </c>
      <c r="V88" s="290" t="s">
        <v>109</v>
      </c>
      <c r="X88" s="60"/>
    </row>
    <row r="89" spans="1:24" s="59" customFormat="1" ht="33" customHeight="1" outlineLevel="1">
      <c r="A89" s="66" t="s">
        <v>161</v>
      </c>
      <c r="B89" s="235">
        <v>4100017642</v>
      </c>
      <c r="C89" s="157" t="s">
        <v>108</v>
      </c>
      <c r="D89" s="316"/>
      <c r="E89" s="15" t="s">
        <v>4</v>
      </c>
      <c r="F89" s="6">
        <v>16.809999999999999</v>
      </c>
      <c r="G89" s="92"/>
      <c r="H89" s="92">
        <v>8.57</v>
      </c>
      <c r="I89" s="92">
        <v>10.65</v>
      </c>
      <c r="J89" s="92">
        <v>6</v>
      </c>
      <c r="K89" s="92">
        <v>4.32</v>
      </c>
      <c r="L89" s="92"/>
      <c r="M89" s="92"/>
      <c r="N89" s="122"/>
      <c r="O89" s="123">
        <f t="shared" ref="O89:O110" si="56">SUM(F89:N89)</f>
        <v>46.35</v>
      </c>
      <c r="P89" s="186"/>
      <c r="Q89" s="187"/>
      <c r="R89" s="184"/>
      <c r="S89" s="182"/>
      <c r="T89" s="185"/>
      <c r="U89" s="184"/>
      <c r="V89" s="397" t="s">
        <v>405</v>
      </c>
      <c r="X89" s="60"/>
    </row>
    <row r="90" spans="1:24" s="59" customFormat="1" ht="37.5" customHeight="1" outlineLevel="1">
      <c r="A90" s="66" t="s">
        <v>162</v>
      </c>
      <c r="B90" s="202"/>
      <c r="C90" s="229" t="s">
        <v>557</v>
      </c>
      <c r="D90" s="321"/>
      <c r="E90" s="103" t="s">
        <v>4</v>
      </c>
      <c r="F90" s="101">
        <f>F91</f>
        <v>5.46</v>
      </c>
      <c r="G90" s="115">
        <f>G91</f>
        <v>4.49</v>
      </c>
      <c r="H90" s="115">
        <f>H91</f>
        <v>6.11</v>
      </c>
      <c r="I90" s="427">
        <v>1.63</v>
      </c>
      <c r="J90" s="428">
        <v>1.24</v>
      </c>
      <c r="K90" s="428">
        <v>1.65</v>
      </c>
      <c r="L90" s="18"/>
      <c r="M90" s="18"/>
      <c r="N90" s="114"/>
      <c r="O90" s="190">
        <f t="shared" si="56"/>
        <v>20.58</v>
      </c>
      <c r="P90" s="182">
        <f>(SUMPRODUCT(O91:O93,P91:P93)/O90)</f>
        <v>0</v>
      </c>
      <c r="Q90" s="183"/>
      <c r="R90" s="184">
        <f t="shared" ref="R90" si="57">P90+Q90</f>
        <v>0</v>
      </c>
      <c r="S90" s="182">
        <f t="shared" ref="S90" si="58">O90*P90</f>
        <v>0</v>
      </c>
      <c r="T90" s="185">
        <f t="shared" ref="T90" si="59">O90*Q90</f>
        <v>0</v>
      </c>
      <c r="U90" s="184">
        <f t="shared" ref="U90" si="60">S90+T90</f>
        <v>0</v>
      </c>
      <c r="V90" s="200" t="s">
        <v>123</v>
      </c>
      <c r="X90" s="60"/>
    </row>
    <row r="91" spans="1:24" s="59" customFormat="1" ht="29.25" customHeight="1" outlineLevel="1">
      <c r="A91" s="66" t="s">
        <v>163</v>
      </c>
      <c r="B91" s="202"/>
      <c r="C91" s="309" t="s">
        <v>16</v>
      </c>
      <c r="D91" s="316"/>
      <c r="E91" s="11" t="s">
        <v>4</v>
      </c>
      <c r="F91" s="11">
        <v>5.46</v>
      </c>
      <c r="G91" s="92">
        <v>4.49</v>
      </c>
      <c r="H91" s="92">
        <v>6.11</v>
      </c>
      <c r="I91" s="429">
        <v>1.63</v>
      </c>
      <c r="J91" s="429">
        <v>1.24</v>
      </c>
      <c r="K91" s="429">
        <v>1.65</v>
      </c>
      <c r="L91" s="18"/>
      <c r="M91" s="18"/>
      <c r="N91" s="114"/>
      <c r="O91" s="123">
        <f t="shared" si="56"/>
        <v>20.58</v>
      </c>
      <c r="P91" s="188"/>
      <c r="Q91" s="189"/>
      <c r="R91" s="184"/>
      <c r="S91" s="182"/>
      <c r="T91" s="185"/>
      <c r="U91" s="184"/>
      <c r="V91" s="200"/>
      <c r="X91" s="60"/>
    </row>
    <row r="92" spans="1:24" s="59" customFormat="1" ht="29.25" customHeight="1" outlineLevel="1">
      <c r="A92" s="66" t="s">
        <v>164</v>
      </c>
      <c r="B92" s="202"/>
      <c r="C92" s="307" t="s">
        <v>90</v>
      </c>
      <c r="D92" s="328">
        <v>50.4</v>
      </c>
      <c r="E92" s="26" t="s">
        <v>30</v>
      </c>
      <c r="F92" s="398">
        <f>5.18*D92</f>
        <v>261</v>
      </c>
      <c r="G92" s="400">
        <f>4.09*D92</f>
        <v>206</v>
      </c>
      <c r="H92" s="400">
        <f>5.8*D92</f>
        <v>292</v>
      </c>
      <c r="I92" s="430">
        <f>1.48*D92</f>
        <v>75</v>
      </c>
      <c r="J92" s="430">
        <f>0.98*D92</f>
        <v>49</v>
      </c>
      <c r="K92" s="430">
        <f>1.25*D92</f>
        <v>63</v>
      </c>
      <c r="L92" s="399"/>
      <c r="M92" s="399"/>
      <c r="N92" s="421"/>
      <c r="O92" s="422">
        <f t="shared" si="56"/>
        <v>946</v>
      </c>
      <c r="P92" s="188"/>
      <c r="Q92" s="189"/>
      <c r="R92" s="184"/>
      <c r="S92" s="182"/>
      <c r="T92" s="185"/>
      <c r="U92" s="184"/>
      <c r="V92" s="200"/>
      <c r="X92" s="60"/>
    </row>
    <row r="93" spans="1:24" s="59" customFormat="1" ht="29.25" customHeight="1" outlineLevel="1">
      <c r="A93" s="66" t="s">
        <v>165</v>
      </c>
      <c r="B93" s="202"/>
      <c r="C93" s="308" t="s">
        <v>59</v>
      </c>
      <c r="D93" s="311">
        <v>2.3E-2</v>
      </c>
      <c r="E93" s="23" t="s">
        <v>34</v>
      </c>
      <c r="F93" s="23">
        <f>5.18*D93</f>
        <v>0.12</v>
      </c>
      <c r="G93" s="92">
        <f>4.09*D93</f>
        <v>0.09</v>
      </c>
      <c r="H93" s="92">
        <f>5.8*D93</f>
        <v>0.13</v>
      </c>
      <c r="I93" s="429">
        <f>1.48*D93</f>
        <v>0.03</v>
      </c>
      <c r="J93" s="429">
        <f>0.98*D93</f>
        <v>0.02</v>
      </c>
      <c r="K93" s="429">
        <f>1.25*D93</f>
        <v>0.03</v>
      </c>
      <c r="L93" s="18"/>
      <c r="M93" s="18"/>
      <c r="N93" s="114"/>
      <c r="O93" s="123">
        <f t="shared" si="56"/>
        <v>0.42</v>
      </c>
      <c r="P93" s="96"/>
      <c r="Q93" s="189"/>
      <c r="R93" s="69"/>
      <c r="S93" s="87"/>
      <c r="T93" s="230"/>
      <c r="U93" s="69"/>
      <c r="V93" s="200"/>
      <c r="X93" s="60"/>
    </row>
    <row r="94" spans="1:24" s="59" customFormat="1" ht="33" customHeight="1" outlineLevel="1">
      <c r="A94" s="66" t="s">
        <v>454</v>
      </c>
      <c r="B94" s="202"/>
      <c r="C94" s="229" t="s">
        <v>558</v>
      </c>
      <c r="D94" s="321"/>
      <c r="E94" s="103" t="s">
        <v>4</v>
      </c>
      <c r="F94" s="101"/>
      <c r="G94" s="101"/>
      <c r="H94" s="101"/>
      <c r="I94" s="427">
        <f>I95</f>
        <v>2.2799999999999998</v>
      </c>
      <c r="J94" s="427">
        <f t="shared" ref="J94:K94" si="61">J95</f>
        <v>0.97</v>
      </c>
      <c r="K94" s="427">
        <f t="shared" si="61"/>
        <v>1.47</v>
      </c>
      <c r="L94" s="18"/>
      <c r="M94" s="18"/>
      <c r="N94" s="114"/>
      <c r="O94" s="190">
        <f t="shared" ref="O94:O98" si="62">SUM(F94:N94)</f>
        <v>4.72</v>
      </c>
      <c r="P94" s="182">
        <f>(SUMPRODUCT(O95:O98,P95:P98)/O94)</f>
        <v>0</v>
      </c>
      <c r="Q94" s="183"/>
      <c r="R94" s="184">
        <f t="shared" ref="R94" si="63">P94+Q94</f>
        <v>0</v>
      </c>
      <c r="S94" s="182">
        <f t="shared" ref="S94" si="64">O94*P94</f>
        <v>0</v>
      </c>
      <c r="T94" s="185">
        <f t="shared" ref="T94" si="65">O94*Q94</f>
        <v>0</v>
      </c>
      <c r="U94" s="184">
        <f t="shared" ref="U94" si="66">S94+T94</f>
        <v>0</v>
      </c>
      <c r="V94" s="200" t="s">
        <v>123</v>
      </c>
      <c r="X94" s="60"/>
    </row>
    <row r="95" spans="1:24" s="59" customFormat="1" ht="29.25" customHeight="1" outlineLevel="1">
      <c r="A95" s="66" t="s">
        <v>455</v>
      </c>
      <c r="B95" s="202"/>
      <c r="C95" s="416" t="s">
        <v>18</v>
      </c>
      <c r="D95" s="316"/>
      <c r="E95" s="11" t="s">
        <v>4</v>
      </c>
      <c r="F95" s="11"/>
      <c r="G95" s="92"/>
      <c r="H95" s="92"/>
      <c r="I95" s="429">
        <v>2.2799999999999998</v>
      </c>
      <c r="J95" s="429">
        <v>0.97</v>
      </c>
      <c r="K95" s="429">
        <v>1.47</v>
      </c>
      <c r="L95" s="18"/>
      <c r="M95" s="18"/>
      <c r="N95" s="114"/>
      <c r="O95" s="123">
        <f t="shared" si="62"/>
        <v>4.72</v>
      </c>
      <c r="P95" s="188"/>
      <c r="Q95" s="189"/>
      <c r="R95" s="184"/>
      <c r="S95" s="182"/>
      <c r="T95" s="185"/>
      <c r="U95" s="184"/>
      <c r="V95" s="200"/>
      <c r="X95" s="60"/>
    </row>
    <row r="96" spans="1:24" s="59" customFormat="1" ht="29.25" customHeight="1" outlineLevel="1">
      <c r="A96" s="66" t="s">
        <v>456</v>
      </c>
      <c r="B96" s="205"/>
      <c r="C96" s="416" t="s">
        <v>129</v>
      </c>
      <c r="D96" s="316"/>
      <c r="E96" s="265" t="s">
        <v>4</v>
      </c>
      <c r="F96" s="265"/>
      <c r="G96" s="192"/>
      <c r="H96" s="192"/>
      <c r="I96" s="429">
        <v>2.2799999999999998</v>
      </c>
      <c r="J96" s="429">
        <v>0.97</v>
      </c>
      <c r="K96" s="429">
        <v>1.47</v>
      </c>
      <c r="L96" s="238"/>
      <c r="M96" s="238"/>
      <c r="N96" s="237"/>
      <c r="O96" s="123">
        <f t="shared" si="62"/>
        <v>4.72</v>
      </c>
      <c r="P96" s="188"/>
      <c r="Q96" s="189"/>
      <c r="R96" s="184"/>
      <c r="S96" s="182"/>
      <c r="T96" s="185"/>
      <c r="U96" s="184"/>
      <c r="V96" s="200"/>
      <c r="X96" s="60"/>
    </row>
    <row r="97" spans="1:24" s="59" customFormat="1" ht="29.25" customHeight="1" outlineLevel="1">
      <c r="A97" s="66" t="s">
        <v>457</v>
      </c>
      <c r="B97" s="202"/>
      <c r="C97" s="307" t="s">
        <v>90</v>
      </c>
      <c r="D97" s="328">
        <v>50.4</v>
      </c>
      <c r="E97" s="26" t="s">
        <v>30</v>
      </c>
      <c r="F97" s="398"/>
      <c r="G97" s="400"/>
      <c r="H97" s="400"/>
      <c r="I97" s="430">
        <f>2.28*D97</f>
        <v>115</v>
      </c>
      <c r="J97" s="430">
        <f>0.97*D97</f>
        <v>49</v>
      </c>
      <c r="K97" s="430">
        <f>1.47*D97</f>
        <v>74</v>
      </c>
      <c r="L97" s="399"/>
      <c r="M97" s="399"/>
      <c r="N97" s="421"/>
      <c r="O97" s="422">
        <f t="shared" si="62"/>
        <v>238</v>
      </c>
      <c r="P97" s="188"/>
      <c r="Q97" s="189"/>
      <c r="R97" s="184"/>
      <c r="S97" s="182"/>
      <c r="T97" s="185"/>
      <c r="U97" s="184"/>
      <c r="V97" s="200"/>
      <c r="X97" s="60"/>
    </row>
    <row r="98" spans="1:24" s="59" customFormat="1" ht="29.25" customHeight="1" outlineLevel="1">
      <c r="A98" s="66" t="s">
        <v>458</v>
      </c>
      <c r="B98" s="202"/>
      <c r="C98" s="308" t="s">
        <v>59</v>
      </c>
      <c r="D98" s="311">
        <v>2.3E-2</v>
      </c>
      <c r="E98" s="23" t="s">
        <v>34</v>
      </c>
      <c r="F98" s="23"/>
      <c r="G98" s="92"/>
      <c r="H98" s="92"/>
      <c r="I98" s="429">
        <f>2.28*D98</f>
        <v>0.05</v>
      </c>
      <c r="J98" s="429">
        <f>0.97*D98</f>
        <v>0.02</v>
      </c>
      <c r="K98" s="429">
        <f>1.47*D98</f>
        <v>0.03</v>
      </c>
      <c r="L98" s="18"/>
      <c r="M98" s="18"/>
      <c r="N98" s="114"/>
      <c r="O98" s="123">
        <f t="shared" si="62"/>
        <v>0.1</v>
      </c>
      <c r="P98" s="96"/>
      <c r="Q98" s="189"/>
      <c r="R98" s="69"/>
      <c r="S98" s="87"/>
      <c r="T98" s="230"/>
      <c r="U98" s="69"/>
      <c r="V98" s="200"/>
      <c r="X98" s="60"/>
    </row>
    <row r="99" spans="1:24" s="59" customFormat="1" ht="37.5" customHeight="1" outlineLevel="1">
      <c r="A99" s="66" t="s">
        <v>459</v>
      </c>
      <c r="B99" s="202"/>
      <c r="C99" s="231" t="s">
        <v>220</v>
      </c>
      <c r="D99" s="310"/>
      <c r="E99" s="104" t="s">
        <v>4</v>
      </c>
      <c r="F99" s="102">
        <v>7.55</v>
      </c>
      <c r="G99" s="102">
        <v>1.94</v>
      </c>
      <c r="H99" s="102">
        <v>9.56</v>
      </c>
      <c r="I99" s="102"/>
      <c r="J99" s="102"/>
      <c r="K99" s="102">
        <v>1.81</v>
      </c>
      <c r="L99" s="18"/>
      <c r="M99" s="18"/>
      <c r="N99" s="114"/>
      <c r="O99" s="190">
        <f t="shared" si="56"/>
        <v>20.86</v>
      </c>
      <c r="P99" s="182">
        <f>(SUMPRODUCT(O100:O101,P100:P101)/O99)</f>
        <v>0</v>
      </c>
      <c r="Q99" s="183"/>
      <c r="R99" s="184">
        <f t="shared" ref="R99" si="67">P99+Q99</f>
        <v>0</v>
      </c>
      <c r="S99" s="182">
        <f t="shared" ref="S99" si="68">O99*P99</f>
        <v>0</v>
      </c>
      <c r="T99" s="185">
        <f t="shared" ref="T99" si="69">O99*Q99</f>
        <v>0</v>
      </c>
      <c r="U99" s="184">
        <f t="shared" ref="U99" si="70">S99+T99</f>
        <v>0</v>
      </c>
      <c r="V99" s="200"/>
      <c r="X99" s="60"/>
    </row>
    <row r="100" spans="1:24" s="59" customFormat="1" ht="34.5" customHeight="1" outlineLevel="1">
      <c r="A100" s="66" t="s">
        <v>460</v>
      </c>
      <c r="B100" s="202"/>
      <c r="C100" s="307" t="s">
        <v>90</v>
      </c>
      <c r="D100" s="266">
        <v>50.4</v>
      </c>
      <c r="E100" s="23" t="s">
        <v>30</v>
      </c>
      <c r="F100" s="400">
        <f>7.55*D100</f>
        <v>381</v>
      </c>
      <c r="G100" s="400">
        <f>1.94*D100</f>
        <v>98</v>
      </c>
      <c r="H100" s="400">
        <f>9.56*D100</f>
        <v>482</v>
      </c>
      <c r="I100" s="400"/>
      <c r="J100" s="400"/>
      <c r="K100" s="400">
        <f>1.81*D100</f>
        <v>91</v>
      </c>
      <c r="L100" s="92"/>
      <c r="M100" s="92"/>
      <c r="N100" s="122"/>
      <c r="O100" s="123">
        <f t="shared" si="56"/>
        <v>1052</v>
      </c>
      <c r="P100" s="188"/>
      <c r="Q100" s="189"/>
      <c r="R100" s="184"/>
      <c r="S100" s="182"/>
      <c r="T100" s="185"/>
      <c r="U100" s="184"/>
      <c r="V100" s="200"/>
      <c r="X100" s="60"/>
    </row>
    <row r="101" spans="1:24" s="59" customFormat="1" ht="34.5" customHeight="1" outlineLevel="1">
      <c r="A101" s="66" t="s">
        <v>461</v>
      </c>
      <c r="B101" s="202"/>
      <c r="C101" s="308" t="s">
        <v>59</v>
      </c>
      <c r="D101" s="311">
        <v>2.3E-2</v>
      </c>
      <c r="E101" s="23" t="s">
        <v>34</v>
      </c>
      <c r="F101" s="92">
        <f>7.55*D101</f>
        <v>0.17</v>
      </c>
      <c r="G101" s="92">
        <f>1.94*D101</f>
        <v>0.04</v>
      </c>
      <c r="H101" s="92">
        <f>9.56*D101</f>
        <v>0.22</v>
      </c>
      <c r="I101" s="92"/>
      <c r="J101" s="92"/>
      <c r="K101" s="92">
        <f>1.81*D101</f>
        <v>0.04</v>
      </c>
      <c r="L101" s="92"/>
      <c r="M101" s="92"/>
      <c r="N101" s="122"/>
      <c r="O101" s="123">
        <f t="shared" si="56"/>
        <v>0.47</v>
      </c>
      <c r="P101" s="188"/>
      <c r="Q101" s="189"/>
      <c r="R101" s="184"/>
      <c r="S101" s="182"/>
      <c r="T101" s="185"/>
      <c r="U101" s="184"/>
      <c r="V101" s="200"/>
      <c r="X101" s="60"/>
    </row>
    <row r="102" spans="1:24" s="59" customFormat="1" ht="37.5" customHeight="1" outlineLevel="1">
      <c r="A102" s="66" t="s">
        <v>462</v>
      </c>
      <c r="B102" s="202"/>
      <c r="C102" s="231" t="s">
        <v>559</v>
      </c>
      <c r="D102" s="312"/>
      <c r="E102" s="104" t="s">
        <v>4</v>
      </c>
      <c r="F102" s="102">
        <v>1.49</v>
      </c>
      <c r="G102" s="102"/>
      <c r="H102" s="102">
        <v>5.0199999999999996</v>
      </c>
      <c r="I102" s="102"/>
      <c r="J102" s="102"/>
      <c r="K102" s="102"/>
      <c r="L102" s="18"/>
      <c r="M102" s="18"/>
      <c r="N102" s="114"/>
      <c r="O102" s="190">
        <f t="shared" si="56"/>
        <v>6.51</v>
      </c>
      <c r="P102" s="182">
        <f>(SUMPRODUCT(O103:O105,P103:P105)/O102)</f>
        <v>0</v>
      </c>
      <c r="Q102" s="183"/>
      <c r="R102" s="184">
        <f t="shared" ref="R102" si="71">P102+Q102</f>
        <v>0</v>
      </c>
      <c r="S102" s="182">
        <f t="shared" ref="S102" si="72">O102*P102</f>
        <v>0</v>
      </c>
      <c r="T102" s="185">
        <f t="shared" ref="T102" si="73">O102*Q102</f>
        <v>0</v>
      </c>
      <c r="U102" s="184">
        <f t="shared" ref="U102" si="74">S102+T102</f>
        <v>0</v>
      </c>
      <c r="V102" s="200" t="s">
        <v>553</v>
      </c>
      <c r="X102" s="60"/>
    </row>
    <row r="103" spans="1:24" s="59" customFormat="1" ht="32.25" customHeight="1" outlineLevel="1">
      <c r="A103" s="66" t="s">
        <v>463</v>
      </c>
      <c r="B103" s="202"/>
      <c r="C103" s="24" t="s">
        <v>16</v>
      </c>
      <c r="D103" s="22"/>
      <c r="E103" s="23" t="s">
        <v>4</v>
      </c>
      <c r="F103" s="92">
        <v>1.49</v>
      </c>
      <c r="G103" s="92"/>
      <c r="H103" s="92">
        <v>5.0199999999999996</v>
      </c>
      <c r="I103" s="92"/>
      <c r="J103" s="92"/>
      <c r="K103" s="92"/>
      <c r="L103" s="92"/>
      <c r="M103" s="92"/>
      <c r="N103" s="114"/>
      <c r="O103" s="99">
        <f t="shared" si="56"/>
        <v>6.51</v>
      </c>
      <c r="P103" s="188"/>
      <c r="Q103" s="189"/>
      <c r="R103" s="184"/>
      <c r="S103" s="182"/>
      <c r="T103" s="185"/>
      <c r="U103" s="184"/>
      <c r="V103" s="200"/>
      <c r="X103" s="60"/>
    </row>
    <row r="104" spans="1:24" s="59" customFormat="1" ht="32.25" customHeight="1" outlineLevel="1">
      <c r="A104" s="66" t="s">
        <v>464</v>
      </c>
      <c r="B104" s="202"/>
      <c r="C104" s="5" t="s">
        <v>17</v>
      </c>
      <c r="D104" s="22"/>
      <c r="E104" s="23" t="s">
        <v>4</v>
      </c>
      <c r="F104" s="92">
        <v>1.49</v>
      </c>
      <c r="G104" s="92"/>
      <c r="H104" s="92">
        <v>5.0199999999999996</v>
      </c>
      <c r="I104" s="92"/>
      <c r="J104" s="92"/>
      <c r="K104" s="92"/>
      <c r="L104" s="92"/>
      <c r="M104" s="92"/>
      <c r="N104" s="114"/>
      <c r="O104" s="99">
        <f t="shared" si="56"/>
        <v>6.51</v>
      </c>
      <c r="P104" s="188"/>
      <c r="Q104" s="189"/>
      <c r="R104" s="184"/>
      <c r="S104" s="182"/>
      <c r="T104" s="185"/>
      <c r="U104" s="184"/>
      <c r="V104" s="200"/>
      <c r="X104" s="60"/>
    </row>
    <row r="105" spans="1:24" s="59" customFormat="1" ht="32.25" customHeight="1" outlineLevel="1">
      <c r="A105" s="66" t="s">
        <v>465</v>
      </c>
      <c r="B105" s="432">
        <v>4100017642</v>
      </c>
      <c r="C105" s="157" t="s">
        <v>108</v>
      </c>
      <c r="D105" s="16"/>
      <c r="E105" s="23" t="s">
        <v>4</v>
      </c>
      <c r="F105" s="92">
        <v>1.49</v>
      </c>
      <c r="G105" s="92"/>
      <c r="H105" s="92">
        <v>5.0199999999999996</v>
      </c>
      <c r="I105" s="92"/>
      <c r="J105" s="92"/>
      <c r="K105" s="92"/>
      <c r="L105" s="92"/>
      <c r="M105" s="92"/>
      <c r="N105" s="114"/>
      <c r="O105" s="99">
        <f t="shared" si="56"/>
        <v>6.51</v>
      </c>
      <c r="P105" s="188"/>
      <c r="Q105" s="106"/>
      <c r="R105" s="69"/>
      <c r="S105" s="70"/>
      <c r="T105" s="71"/>
      <c r="U105" s="69"/>
      <c r="V105" s="397" t="s">
        <v>405</v>
      </c>
      <c r="X105" s="60"/>
    </row>
    <row r="106" spans="1:24" s="59" customFormat="1" ht="45" customHeight="1" outlineLevel="1">
      <c r="A106" s="66" t="s">
        <v>466</v>
      </c>
      <c r="B106" s="202"/>
      <c r="C106" s="231" t="s">
        <v>564</v>
      </c>
      <c r="D106" s="105"/>
      <c r="E106" s="104" t="s">
        <v>4</v>
      </c>
      <c r="F106" s="102">
        <f>F107+F108</f>
        <v>32.26</v>
      </c>
      <c r="G106" s="102">
        <f t="shared" ref="G106:H106" si="75">G107+G108</f>
        <v>28.39</v>
      </c>
      <c r="H106" s="102">
        <f t="shared" si="75"/>
        <v>51.08</v>
      </c>
      <c r="I106" s="438">
        <f>I107</f>
        <v>19.79</v>
      </c>
      <c r="J106" s="438">
        <f>J107</f>
        <v>6.8</v>
      </c>
      <c r="K106" s="438">
        <f>K107</f>
        <v>8.77</v>
      </c>
      <c r="L106" s="18"/>
      <c r="M106" s="18"/>
      <c r="N106" s="114"/>
      <c r="O106" s="190">
        <f t="shared" si="56"/>
        <v>147.09</v>
      </c>
      <c r="P106" s="182">
        <f>(SUMPRODUCT(O107:O110,P107:P110)/O106)</f>
        <v>0</v>
      </c>
      <c r="Q106" s="183"/>
      <c r="R106" s="184">
        <f t="shared" ref="R106" si="76">P106+Q106</f>
        <v>0</v>
      </c>
      <c r="S106" s="182">
        <f t="shared" ref="S106" si="77">O106*P106</f>
        <v>0</v>
      </c>
      <c r="T106" s="185">
        <f t="shared" ref="T106" si="78">O106*Q106</f>
        <v>0</v>
      </c>
      <c r="U106" s="184">
        <f t="shared" ref="U106" si="79">S106+T106</f>
        <v>0</v>
      </c>
      <c r="V106" s="415"/>
      <c r="X106" s="60"/>
    </row>
    <row r="107" spans="1:24" s="59" customFormat="1" ht="29.25" customHeight="1" outlineLevel="1">
      <c r="A107" s="66" t="s">
        <v>467</v>
      </c>
      <c r="B107" s="202"/>
      <c r="C107" s="24" t="s">
        <v>16</v>
      </c>
      <c r="D107" s="22"/>
      <c r="E107" s="23" t="s">
        <v>4</v>
      </c>
      <c r="F107" s="92">
        <v>30.05</v>
      </c>
      <c r="G107" s="92">
        <v>26.54</v>
      </c>
      <c r="H107" s="92">
        <v>48.49</v>
      </c>
      <c r="I107" s="429">
        <v>19.79</v>
      </c>
      <c r="J107" s="429">
        <v>6.8</v>
      </c>
      <c r="K107" s="429">
        <v>8.77</v>
      </c>
      <c r="L107" s="92"/>
      <c r="M107" s="92"/>
      <c r="N107" s="114"/>
      <c r="O107" s="123">
        <f t="shared" si="56"/>
        <v>140.44</v>
      </c>
      <c r="P107" s="188"/>
      <c r="Q107" s="189"/>
      <c r="R107" s="184"/>
      <c r="S107" s="182"/>
      <c r="T107" s="185"/>
      <c r="U107" s="184"/>
      <c r="V107" s="200"/>
      <c r="X107" s="60"/>
    </row>
    <row r="108" spans="1:24" s="59" customFormat="1" ht="29.25" customHeight="1" outlineLevel="1">
      <c r="A108" s="66" t="s">
        <v>468</v>
      </c>
      <c r="B108" s="202"/>
      <c r="C108" s="24" t="s">
        <v>18</v>
      </c>
      <c r="D108" s="22"/>
      <c r="E108" s="23" t="s">
        <v>4</v>
      </c>
      <c r="F108" s="92">
        <v>2.21</v>
      </c>
      <c r="G108" s="92">
        <v>1.85</v>
      </c>
      <c r="H108" s="92">
        <v>2.59</v>
      </c>
      <c r="I108" s="429"/>
      <c r="J108" s="429"/>
      <c r="K108" s="429"/>
      <c r="L108" s="92"/>
      <c r="M108" s="92"/>
      <c r="N108" s="114"/>
      <c r="O108" s="123">
        <f t="shared" si="56"/>
        <v>6.65</v>
      </c>
      <c r="P108" s="188"/>
      <c r="Q108" s="189"/>
      <c r="R108" s="184"/>
      <c r="S108" s="182"/>
      <c r="T108" s="185"/>
      <c r="U108" s="184"/>
      <c r="V108" s="200"/>
      <c r="X108" s="60"/>
    </row>
    <row r="109" spans="1:24" s="59" customFormat="1" ht="29.25" customHeight="1" outlineLevel="1">
      <c r="A109" s="66" t="s">
        <v>469</v>
      </c>
      <c r="B109" s="202"/>
      <c r="C109" s="25" t="s">
        <v>90</v>
      </c>
      <c r="D109" s="26">
        <v>50.4</v>
      </c>
      <c r="E109" s="23" t="s">
        <v>30</v>
      </c>
      <c r="F109" s="400">
        <f>33.19*D109</f>
        <v>1673</v>
      </c>
      <c r="G109" s="400">
        <f>28.38*D109</f>
        <v>1430</v>
      </c>
      <c r="H109" s="400">
        <f>52.6*D109</f>
        <v>2651</v>
      </c>
      <c r="I109" s="430">
        <f>20.55*D109</f>
        <v>1036</v>
      </c>
      <c r="J109" s="430">
        <f>6.13*D109</f>
        <v>309</v>
      </c>
      <c r="K109" s="430">
        <f>8.8*D109</f>
        <v>444</v>
      </c>
      <c r="L109" s="92"/>
      <c r="M109" s="92"/>
      <c r="N109" s="114"/>
      <c r="O109" s="123">
        <f t="shared" si="56"/>
        <v>7543</v>
      </c>
      <c r="P109" s="188"/>
      <c r="Q109" s="106"/>
      <c r="R109" s="69"/>
      <c r="S109" s="70"/>
      <c r="T109" s="71"/>
      <c r="U109" s="69"/>
      <c r="V109" s="200"/>
      <c r="X109" s="60"/>
    </row>
    <row r="110" spans="1:24" s="59" customFormat="1" ht="29.25" customHeight="1" outlineLevel="1">
      <c r="A110" s="66" t="s">
        <v>470</v>
      </c>
      <c r="B110" s="202"/>
      <c r="C110" s="27" t="s">
        <v>59</v>
      </c>
      <c r="D110" s="32">
        <v>2.3E-2</v>
      </c>
      <c r="E110" s="23" t="s">
        <v>34</v>
      </c>
      <c r="F110" s="418">
        <f>33.19*D110</f>
        <v>0.76300000000000001</v>
      </c>
      <c r="G110" s="92">
        <f>28.38*D110</f>
        <v>0.65</v>
      </c>
      <c r="H110" s="92">
        <f>52.6*D110</f>
        <v>1.21</v>
      </c>
      <c r="I110" s="439">
        <f>20.55*D110</f>
        <v>0.47299999999999998</v>
      </c>
      <c r="J110" s="429">
        <f>6.13*D110</f>
        <v>0.14000000000000001</v>
      </c>
      <c r="K110" s="439">
        <f>8.8*D110</f>
        <v>0.20200000000000001</v>
      </c>
      <c r="L110" s="92"/>
      <c r="M110" s="92"/>
      <c r="N110" s="114"/>
      <c r="O110" s="123">
        <f t="shared" si="56"/>
        <v>3.44</v>
      </c>
      <c r="P110" s="188"/>
      <c r="Q110" s="106"/>
      <c r="R110" s="69"/>
      <c r="S110" s="70"/>
      <c r="T110" s="71"/>
      <c r="U110" s="69"/>
      <c r="V110" s="200"/>
      <c r="X110" s="60"/>
    </row>
    <row r="111" spans="1:24" s="59" customFormat="1" ht="45" customHeight="1" outlineLevel="1">
      <c r="A111" s="66" t="s">
        <v>471</v>
      </c>
      <c r="B111" s="202"/>
      <c r="C111" s="231" t="s">
        <v>563</v>
      </c>
      <c r="D111" s="105"/>
      <c r="E111" s="104" t="s">
        <v>4</v>
      </c>
      <c r="F111" s="102"/>
      <c r="G111" s="102"/>
      <c r="H111" s="102"/>
      <c r="I111" s="438">
        <f>I112</f>
        <v>25.26</v>
      </c>
      <c r="J111" s="438">
        <f>J112</f>
        <v>33.17</v>
      </c>
      <c r="K111" s="438">
        <f>K112</f>
        <v>46.03</v>
      </c>
      <c r="L111" s="18"/>
      <c r="M111" s="18"/>
      <c r="N111" s="114"/>
      <c r="O111" s="190">
        <f t="shared" ref="O111:O115" si="80">SUM(F111:N111)</f>
        <v>104.46</v>
      </c>
      <c r="P111" s="182">
        <f>(SUMPRODUCT(O112:O115,P112:P115)/O111)</f>
        <v>0</v>
      </c>
      <c r="Q111" s="183"/>
      <c r="R111" s="184">
        <f t="shared" ref="R111" si="81">P111+Q111</f>
        <v>0</v>
      </c>
      <c r="S111" s="182">
        <f t="shared" ref="S111" si="82">O111*P111</f>
        <v>0</v>
      </c>
      <c r="T111" s="185">
        <f t="shared" ref="T111" si="83">O111*Q111</f>
        <v>0</v>
      </c>
      <c r="U111" s="184">
        <f t="shared" ref="U111" si="84">S111+T111</f>
        <v>0</v>
      </c>
      <c r="V111" s="415"/>
      <c r="X111" s="60"/>
    </row>
    <row r="112" spans="1:24" s="59" customFormat="1" ht="29.25" customHeight="1" outlineLevel="1">
      <c r="A112" s="66" t="s">
        <v>472</v>
      </c>
      <c r="B112" s="202"/>
      <c r="C112" s="420" t="s">
        <v>18</v>
      </c>
      <c r="D112" s="22"/>
      <c r="E112" s="23" t="s">
        <v>4</v>
      </c>
      <c r="F112" s="92"/>
      <c r="G112" s="92"/>
      <c r="H112" s="92"/>
      <c r="I112" s="429">
        <v>25.26</v>
      </c>
      <c r="J112" s="429">
        <v>33.17</v>
      </c>
      <c r="K112" s="429">
        <v>46.03</v>
      </c>
      <c r="L112" s="92"/>
      <c r="M112" s="92"/>
      <c r="N112" s="114"/>
      <c r="O112" s="123">
        <f t="shared" si="80"/>
        <v>104.46</v>
      </c>
      <c r="P112" s="188"/>
      <c r="Q112" s="189"/>
      <c r="R112" s="184"/>
      <c r="S112" s="182"/>
      <c r="T112" s="185"/>
      <c r="U112" s="184"/>
      <c r="V112" s="200"/>
      <c r="X112" s="60"/>
    </row>
    <row r="113" spans="1:24" s="59" customFormat="1" ht="29.25" customHeight="1" outlineLevel="1">
      <c r="A113" s="66" t="s">
        <v>473</v>
      </c>
      <c r="B113" s="205"/>
      <c r="C113" s="413" t="s">
        <v>129</v>
      </c>
      <c r="D113" s="419"/>
      <c r="E113" s="256" t="s">
        <v>4</v>
      </c>
      <c r="F113" s="192"/>
      <c r="G113" s="192"/>
      <c r="H113" s="192"/>
      <c r="I113" s="440">
        <f>I112</f>
        <v>25.26</v>
      </c>
      <c r="J113" s="440">
        <f>J112</f>
        <v>33.17</v>
      </c>
      <c r="K113" s="440">
        <f>K112</f>
        <v>46.03</v>
      </c>
      <c r="L113" s="192"/>
      <c r="M113" s="192"/>
      <c r="N113" s="237"/>
      <c r="O113" s="123">
        <f t="shared" si="80"/>
        <v>104.46</v>
      </c>
      <c r="P113" s="188"/>
      <c r="Q113" s="252"/>
      <c r="R113" s="241"/>
      <c r="S113" s="242"/>
      <c r="T113" s="243"/>
      <c r="U113" s="241"/>
      <c r="V113" s="200"/>
      <c r="X113" s="60"/>
    </row>
    <row r="114" spans="1:24" s="59" customFormat="1" ht="29.25" customHeight="1" outlineLevel="1">
      <c r="A114" s="66" t="s">
        <v>474</v>
      </c>
      <c r="B114" s="202"/>
      <c r="C114" s="25" t="s">
        <v>90</v>
      </c>
      <c r="D114" s="26">
        <v>50.4</v>
      </c>
      <c r="E114" s="23" t="s">
        <v>30</v>
      </c>
      <c r="F114" s="400"/>
      <c r="G114" s="400"/>
      <c r="H114" s="400"/>
      <c r="I114" s="430">
        <f>25.16*D114</f>
        <v>1268</v>
      </c>
      <c r="J114" s="430">
        <f>28.45*D114</f>
        <v>1434</v>
      </c>
      <c r="K114" s="430">
        <f>46.97*D114</f>
        <v>2367</v>
      </c>
      <c r="L114" s="418"/>
      <c r="M114" s="92"/>
      <c r="N114" s="114"/>
      <c r="O114" s="123">
        <f t="shared" si="80"/>
        <v>5069</v>
      </c>
      <c r="P114" s="188"/>
      <c r="Q114" s="106"/>
      <c r="R114" s="69"/>
      <c r="S114" s="70"/>
      <c r="T114" s="71"/>
      <c r="U114" s="69"/>
      <c r="V114" s="200"/>
      <c r="X114" s="60"/>
    </row>
    <row r="115" spans="1:24" s="59" customFormat="1" ht="29.25" customHeight="1" outlineLevel="1">
      <c r="A115" s="66" t="s">
        <v>475</v>
      </c>
      <c r="B115" s="202"/>
      <c r="C115" s="27" t="s">
        <v>59</v>
      </c>
      <c r="D115" s="32">
        <v>2.3E-2</v>
      </c>
      <c r="E115" s="23" t="s">
        <v>34</v>
      </c>
      <c r="F115" s="92"/>
      <c r="G115" s="92"/>
      <c r="H115" s="92"/>
      <c r="I115" s="439">
        <f>25.16*D115</f>
        <v>0.57899999999999996</v>
      </c>
      <c r="J115" s="429">
        <f>28.45*D115</f>
        <v>0.65</v>
      </c>
      <c r="K115" s="439">
        <f>46.97*D115</f>
        <v>1.08</v>
      </c>
      <c r="L115" s="418"/>
      <c r="M115" s="92"/>
      <c r="N115" s="114"/>
      <c r="O115" s="123">
        <f t="shared" si="80"/>
        <v>2.31</v>
      </c>
      <c r="P115" s="188"/>
      <c r="Q115" s="106"/>
      <c r="R115" s="69"/>
      <c r="S115" s="70"/>
      <c r="T115" s="71"/>
      <c r="U115" s="69"/>
      <c r="V115" s="200"/>
      <c r="X115" s="60"/>
    </row>
    <row r="116" spans="1:24" s="59" customFormat="1" ht="37.5" customHeight="1" outlineLevel="1">
      <c r="A116" s="66" t="s">
        <v>476</v>
      </c>
      <c r="B116" s="202"/>
      <c r="C116" s="21" t="s">
        <v>562</v>
      </c>
      <c r="D116" s="105"/>
      <c r="E116" s="104" t="s">
        <v>4</v>
      </c>
      <c r="F116" s="102">
        <v>16.04</v>
      </c>
      <c r="G116" s="102"/>
      <c r="H116" s="102">
        <v>16.309999999999999</v>
      </c>
      <c r="I116" s="102"/>
      <c r="J116" s="102"/>
      <c r="K116" s="102"/>
      <c r="L116" s="18"/>
      <c r="M116" s="18"/>
      <c r="N116" s="114"/>
      <c r="O116" s="190">
        <f>SUM(F116:N116)</f>
        <v>32.35</v>
      </c>
      <c r="P116" s="182">
        <f>(SUMPRODUCT(O117:O119,P117:P119)/O116)</f>
        <v>0</v>
      </c>
      <c r="Q116" s="183"/>
      <c r="R116" s="184">
        <f t="shared" ref="R116" si="85">P116+Q116</f>
        <v>0</v>
      </c>
      <c r="S116" s="182">
        <f t="shared" ref="S116" si="86">O116*P116</f>
        <v>0</v>
      </c>
      <c r="T116" s="185">
        <f t="shared" ref="T116" si="87">O116*Q116</f>
        <v>0</v>
      </c>
      <c r="U116" s="184">
        <f t="shared" ref="U116" si="88">S116+T116</f>
        <v>0</v>
      </c>
      <c r="V116" s="200" t="s">
        <v>555</v>
      </c>
      <c r="X116" s="60"/>
    </row>
    <row r="117" spans="1:24" s="59" customFormat="1" ht="30" customHeight="1" outlineLevel="1">
      <c r="A117" s="66" t="s">
        <v>477</v>
      </c>
      <c r="B117" s="202"/>
      <c r="C117" s="28" t="s">
        <v>16</v>
      </c>
      <c r="D117" s="22"/>
      <c r="E117" s="23" t="s">
        <v>4</v>
      </c>
      <c r="F117" s="92">
        <v>16.04</v>
      </c>
      <c r="G117" s="92"/>
      <c r="H117" s="92">
        <v>16.309999999999999</v>
      </c>
      <c r="I117" s="92"/>
      <c r="J117" s="92"/>
      <c r="K117" s="92"/>
      <c r="L117" s="92"/>
      <c r="M117" s="92"/>
      <c r="N117" s="122"/>
      <c r="O117" s="123">
        <f t="shared" ref="O117:O119" si="89">SUM(F117:N117)</f>
        <v>32.35</v>
      </c>
      <c r="P117" s="188"/>
      <c r="Q117" s="189"/>
      <c r="R117" s="184"/>
      <c r="S117" s="182"/>
      <c r="T117" s="185"/>
      <c r="U117" s="184"/>
      <c r="V117" s="200"/>
      <c r="X117" s="60"/>
    </row>
    <row r="118" spans="1:24" s="59" customFormat="1" ht="30" customHeight="1" outlineLevel="1">
      <c r="A118" s="66" t="s">
        <v>478</v>
      </c>
      <c r="B118" s="202"/>
      <c r="C118" s="5" t="s">
        <v>17</v>
      </c>
      <c r="D118" s="26"/>
      <c r="E118" s="23" t="s">
        <v>4</v>
      </c>
      <c r="F118" s="92">
        <v>16.04</v>
      </c>
      <c r="G118" s="92"/>
      <c r="H118" s="92">
        <v>16.309999999999999</v>
      </c>
      <c r="I118" s="92"/>
      <c r="J118" s="92"/>
      <c r="K118" s="92"/>
      <c r="L118" s="92"/>
      <c r="M118" s="92"/>
      <c r="N118" s="122"/>
      <c r="O118" s="123">
        <f t="shared" si="89"/>
        <v>32.35</v>
      </c>
      <c r="P118" s="188"/>
      <c r="Q118" s="189"/>
      <c r="R118" s="184"/>
      <c r="S118" s="182"/>
      <c r="T118" s="185"/>
      <c r="U118" s="184"/>
      <c r="V118" s="200"/>
      <c r="X118" s="60"/>
    </row>
    <row r="119" spans="1:24" s="59" customFormat="1" ht="51.75" customHeight="1" outlineLevel="1">
      <c r="A119" s="66" t="s">
        <v>479</v>
      </c>
      <c r="B119" s="235">
        <v>4100017642</v>
      </c>
      <c r="C119" s="157" t="s">
        <v>108</v>
      </c>
      <c r="D119" s="16"/>
      <c r="E119" s="23" t="s">
        <v>4</v>
      </c>
      <c r="F119" s="92">
        <v>16.04</v>
      </c>
      <c r="G119" s="92"/>
      <c r="H119" s="92">
        <v>16.309999999999999</v>
      </c>
      <c r="I119" s="92"/>
      <c r="J119" s="92"/>
      <c r="K119" s="92"/>
      <c r="L119" s="92"/>
      <c r="M119" s="92"/>
      <c r="N119" s="122"/>
      <c r="O119" s="123">
        <f t="shared" si="89"/>
        <v>32.35</v>
      </c>
      <c r="P119" s="188"/>
      <c r="Q119" s="106"/>
      <c r="R119" s="69"/>
      <c r="S119" s="70"/>
      <c r="T119" s="71"/>
      <c r="U119" s="69"/>
      <c r="V119" s="397" t="s">
        <v>405</v>
      </c>
      <c r="X119" s="60"/>
    </row>
    <row r="120" spans="1:24" s="59" customFormat="1" ht="37.5" customHeight="1" outlineLevel="1">
      <c r="A120" s="66" t="s">
        <v>480</v>
      </c>
      <c r="B120" s="202"/>
      <c r="C120" s="21" t="s">
        <v>560</v>
      </c>
      <c r="D120" s="105"/>
      <c r="E120" s="104" t="s">
        <v>4</v>
      </c>
      <c r="F120" s="102"/>
      <c r="G120" s="102"/>
      <c r="H120" s="102"/>
      <c r="I120" s="102">
        <v>5.1100000000000003</v>
      </c>
      <c r="J120" s="102"/>
      <c r="K120" s="102"/>
      <c r="L120" s="18"/>
      <c r="M120" s="18"/>
      <c r="N120" s="114"/>
      <c r="O120" s="190">
        <f>SUM(F120:N120)</f>
        <v>5.1100000000000003</v>
      </c>
      <c r="P120" s="182">
        <f>(SUMPRODUCT(O121:O124,P121:P124)/O120)</f>
        <v>0</v>
      </c>
      <c r="Q120" s="183"/>
      <c r="R120" s="184">
        <f t="shared" ref="R120" si="90">P120+Q120</f>
        <v>0</v>
      </c>
      <c r="S120" s="182">
        <f t="shared" ref="S120" si="91">O120*P120</f>
        <v>0</v>
      </c>
      <c r="T120" s="185">
        <f t="shared" ref="T120" si="92">O120*Q120</f>
        <v>0</v>
      </c>
      <c r="U120" s="184">
        <f t="shared" ref="U120" si="93">S120+T120</f>
        <v>0</v>
      </c>
      <c r="V120" s="200" t="s">
        <v>561</v>
      </c>
      <c r="X120" s="60"/>
    </row>
    <row r="121" spans="1:24" s="59" customFormat="1" ht="30" customHeight="1" outlineLevel="1">
      <c r="A121" s="66" t="s">
        <v>483</v>
      </c>
      <c r="B121" s="202"/>
      <c r="C121" s="420" t="s">
        <v>18</v>
      </c>
      <c r="D121" s="22"/>
      <c r="E121" s="23" t="s">
        <v>4</v>
      </c>
      <c r="F121" s="92"/>
      <c r="G121" s="92"/>
      <c r="H121" s="92"/>
      <c r="I121" s="92">
        <v>5.1100000000000003</v>
      </c>
      <c r="J121" s="92"/>
      <c r="K121" s="92"/>
      <c r="L121" s="92"/>
      <c r="M121" s="92"/>
      <c r="N121" s="122"/>
      <c r="O121" s="123">
        <f t="shared" ref="O121:O128" si="94">SUM(F121:N121)</f>
        <v>5.1100000000000003</v>
      </c>
      <c r="P121" s="188"/>
      <c r="Q121" s="189"/>
      <c r="R121" s="184"/>
      <c r="S121" s="182"/>
      <c r="T121" s="185"/>
      <c r="U121" s="184"/>
      <c r="V121" s="200"/>
      <c r="X121" s="60"/>
    </row>
    <row r="122" spans="1:24" s="59" customFormat="1" ht="30" customHeight="1" outlineLevel="1">
      <c r="A122" s="66" t="s">
        <v>484</v>
      </c>
      <c r="B122" s="205"/>
      <c r="C122" s="413" t="s">
        <v>129</v>
      </c>
      <c r="D122" s="419"/>
      <c r="E122" s="256" t="s">
        <v>4</v>
      </c>
      <c r="F122" s="192"/>
      <c r="G122" s="192"/>
      <c r="H122" s="192"/>
      <c r="I122" s="192">
        <f>I121</f>
        <v>5.1100000000000003</v>
      </c>
      <c r="J122" s="192"/>
      <c r="K122" s="192"/>
      <c r="L122" s="192"/>
      <c r="M122" s="192"/>
      <c r="N122" s="405"/>
      <c r="O122" s="123">
        <f t="shared" si="94"/>
        <v>5.1100000000000003</v>
      </c>
      <c r="P122" s="188"/>
      <c r="Q122" s="189"/>
      <c r="R122" s="184"/>
      <c r="S122" s="182"/>
      <c r="T122" s="185"/>
      <c r="U122" s="184"/>
      <c r="V122" s="200"/>
      <c r="X122" s="60"/>
    </row>
    <row r="123" spans="1:24" s="59" customFormat="1" ht="30" customHeight="1" outlineLevel="1">
      <c r="A123" s="66" t="s">
        <v>485</v>
      </c>
      <c r="B123" s="202"/>
      <c r="C123" s="5" t="s">
        <v>17</v>
      </c>
      <c r="D123" s="26"/>
      <c r="E123" s="23" t="s">
        <v>4</v>
      </c>
      <c r="F123" s="92"/>
      <c r="G123" s="92"/>
      <c r="H123" s="92"/>
      <c r="I123" s="92">
        <v>5.1100000000000003</v>
      </c>
      <c r="J123" s="92"/>
      <c r="K123" s="92"/>
      <c r="L123" s="92"/>
      <c r="M123" s="92"/>
      <c r="N123" s="122"/>
      <c r="O123" s="123">
        <f t="shared" si="94"/>
        <v>5.1100000000000003</v>
      </c>
      <c r="P123" s="188"/>
      <c r="Q123" s="189"/>
      <c r="R123" s="184"/>
      <c r="S123" s="182"/>
      <c r="T123" s="185"/>
      <c r="U123" s="184"/>
      <c r="V123" s="200"/>
      <c r="X123" s="60"/>
    </row>
    <row r="124" spans="1:24" s="59" customFormat="1" ht="33.75" customHeight="1" outlineLevel="1">
      <c r="A124" s="66" t="s">
        <v>565</v>
      </c>
      <c r="B124" s="235">
        <v>4100017642</v>
      </c>
      <c r="C124" s="157" t="s">
        <v>108</v>
      </c>
      <c r="D124" s="16"/>
      <c r="E124" s="23" t="s">
        <v>4</v>
      </c>
      <c r="F124" s="92"/>
      <c r="G124" s="92"/>
      <c r="H124" s="92"/>
      <c r="I124" s="92">
        <v>5.1100000000000003</v>
      </c>
      <c r="J124" s="92"/>
      <c r="K124" s="92"/>
      <c r="L124" s="92"/>
      <c r="M124" s="92"/>
      <c r="N124" s="122"/>
      <c r="O124" s="123">
        <f t="shared" si="94"/>
        <v>5.1100000000000003</v>
      </c>
      <c r="P124" s="188"/>
      <c r="Q124" s="106"/>
      <c r="R124" s="69"/>
      <c r="S124" s="70"/>
      <c r="T124" s="71"/>
      <c r="U124" s="69"/>
      <c r="V124" s="397" t="s">
        <v>405</v>
      </c>
      <c r="X124" s="60"/>
    </row>
    <row r="125" spans="1:24" s="59" customFormat="1" ht="42" customHeight="1" outlineLevel="1">
      <c r="A125" s="66" t="s">
        <v>481</v>
      </c>
      <c r="B125" s="202"/>
      <c r="C125" s="231" t="s">
        <v>569</v>
      </c>
      <c r="D125" s="312"/>
      <c r="E125" s="104" t="s">
        <v>4</v>
      </c>
      <c r="F125" s="102">
        <v>11.49</v>
      </c>
      <c r="G125" s="102"/>
      <c r="H125" s="102"/>
      <c r="I125" s="102"/>
      <c r="J125" s="102"/>
      <c r="K125" s="102"/>
      <c r="L125" s="18"/>
      <c r="M125" s="18"/>
      <c r="N125" s="114"/>
      <c r="O125" s="190">
        <f t="shared" si="94"/>
        <v>11.49</v>
      </c>
      <c r="P125" s="182">
        <f>(SUMPRODUCT(O126:O128,P126:P128)/O125)</f>
        <v>0</v>
      </c>
      <c r="Q125" s="183"/>
      <c r="R125" s="184">
        <f t="shared" ref="R125" si="95">P125+Q125</f>
        <v>0</v>
      </c>
      <c r="S125" s="182">
        <f t="shared" ref="S125" si="96">O125*P125</f>
        <v>0</v>
      </c>
      <c r="T125" s="185">
        <f t="shared" ref="T125" si="97">O125*Q125</f>
        <v>0</v>
      </c>
      <c r="U125" s="184">
        <f t="shared" ref="U125" si="98">S125+T125</f>
        <v>0</v>
      </c>
      <c r="V125" s="415" t="s">
        <v>556</v>
      </c>
      <c r="X125" s="60"/>
    </row>
    <row r="126" spans="1:24" s="59" customFormat="1" ht="30" customHeight="1" outlineLevel="1">
      <c r="A126" s="66" t="s">
        <v>486</v>
      </c>
      <c r="B126" s="202"/>
      <c r="C126" s="307" t="s">
        <v>16</v>
      </c>
      <c r="D126" s="310"/>
      <c r="E126" s="23" t="s">
        <v>4</v>
      </c>
      <c r="F126" s="92">
        <v>11.49</v>
      </c>
      <c r="G126" s="92"/>
      <c r="H126" s="92"/>
      <c r="I126" s="92"/>
      <c r="J126" s="92"/>
      <c r="K126" s="92"/>
      <c r="L126" s="92"/>
      <c r="M126" s="92"/>
      <c r="N126" s="122"/>
      <c r="O126" s="99">
        <f t="shared" si="94"/>
        <v>11.49</v>
      </c>
      <c r="P126" s="188"/>
      <c r="Q126" s="189"/>
      <c r="R126" s="184"/>
      <c r="S126" s="182"/>
      <c r="T126" s="185"/>
      <c r="U126" s="184"/>
      <c r="V126" s="200"/>
      <c r="X126" s="60"/>
    </row>
    <row r="127" spans="1:24" s="59" customFormat="1" ht="30" customHeight="1" outlineLevel="1">
      <c r="A127" s="66" t="s">
        <v>487</v>
      </c>
      <c r="B127" s="202"/>
      <c r="C127" s="307" t="s">
        <v>90</v>
      </c>
      <c r="D127" s="266">
        <v>50.4</v>
      </c>
      <c r="E127" s="23" t="s">
        <v>30</v>
      </c>
      <c r="F127" s="92">
        <f>11.49*D127</f>
        <v>579.1</v>
      </c>
      <c r="G127" s="92"/>
      <c r="H127" s="92"/>
      <c r="I127" s="400"/>
      <c r="J127" s="92"/>
      <c r="K127" s="92"/>
      <c r="L127" s="92"/>
      <c r="M127" s="92"/>
      <c r="N127" s="122"/>
      <c r="O127" s="99">
        <f t="shared" si="94"/>
        <v>579.1</v>
      </c>
      <c r="P127" s="188"/>
      <c r="Q127" s="189"/>
      <c r="R127" s="184"/>
      <c r="S127" s="182"/>
      <c r="T127" s="185"/>
      <c r="U127" s="184"/>
      <c r="V127" s="200"/>
      <c r="X127" s="60"/>
    </row>
    <row r="128" spans="1:24" s="59" customFormat="1" ht="30" customHeight="1" outlineLevel="1">
      <c r="A128" s="66" t="s">
        <v>488</v>
      </c>
      <c r="B128" s="202"/>
      <c r="C128" s="308" t="s">
        <v>59</v>
      </c>
      <c r="D128" s="311">
        <v>2.3E-2</v>
      </c>
      <c r="E128" s="23" t="s">
        <v>34</v>
      </c>
      <c r="F128" s="92">
        <f>11.49*D128</f>
        <v>0.26</v>
      </c>
      <c r="G128" s="92"/>
      <c r="H128" s="92"/>
      <c r="I128" s="92"/>
      <c r="J128" s="92"/>
      <c r="K128" s="92"/>
      <c r="L128" s="92"/>
      <c r="M128" s="92"/>
      <c r="N128" s="122"/>
      <c r="O128" s="99">
        <f t="shared" si="94"/>
        <v>0.26</v>
      </c>
      <c r="P128" s="188"/>
      <c r="Q128" s="106"/>
      <c r="R128" s="69"/>
      <c r="S128" s="70"/>
      <c r="T128" s="71"/>
      <c r="U128" s="69"/>
      <c r="V128" s="200"/>
      <c r="X128" s="60"/>
    </row>
    <row r="129" spans="1:24" s="59" customFormat="1" ht="42" customHeight="1" outlineLevel="1">
      <c r="A129" s="66" t="s">
        <v>489</v>
      </c>
      <c r="B129" s="202"/>
      <c r="C129" s="231" t="s">
        <v>570</v>
      </c>
      <c r="D129" s="312"/>
      <c r="E129" s="104" t="s">
        <v>4</v>
      </c>
      <c r="F129" s="102"/>
      <c r="G129" s="102"/>
      <c r="H129" s="102"/>
      <c r="I129" s="102">
        <f>I130</f>
        <v>10.72</v>
      </c>
      <c r="J129" s="102">
        <f>J130</f>
        <v>11.56</v>
      </c>
      <c r="K129" s="102">
        <f>K130</f>
        <v>10.029999999999999</v>
      </c>
      <c r="L129" s="18"/>
      <c r="M129" s="18"/>
      <c r="N129" s="114"/>
      <c r="O129" s="190">
        <f t="shared" ref="O129:O164" si="99">SUM(F129:N129)</f>
        <v>32.31</v>
      </c>
      <c r="P129" s="182">
        <f>(SUMPRODUCT(O130:O133,P130:P133)/O129)</f>
        <v>0</v>
      </c>
      <c r="Q129" s="183"/>
      <c r="R129" s="184">
        <f t="shared" ref="R129" si="100">P129+Q129</f>
        <v>0</v>
      </c>
      <c r="S129" s="182">
        <f t="shared" ref="S129" si="101">O129*P129</f>
        <v>0</v>
      </c>
      <c r="T129" s="185">
        <f t="shared" ref="T129" si="102">O129*Q129</f>
        <v>0</v>
      </c>
      <c r="U129" s="184">
        <f t="shared" ref="U129" si="103">S129+T129</f>
        <v>0</v>
      </c>
      <c r="V129" s="415" t="s">
        <v>505</v>
      </c>
      <c r="X129" s="60"/>
    </row>
    <row r="130" spans="1:24" s="59" customFormat="1" ht="30" customHeight="1" outlineLevel="1">
      <c r="A130" s="66" t="s">
        <v>490</v>
      </c>
      <c r="B130" s="205"/>
      <c r="C130" s="420" t="s">
        <v>18</v>
      </c>
      <c r="D130" s="310"/>
      <c r="E130" s="23" t="s">
        <v>4</v>
      </c>
      <c r="F130" s="192"/>
      <c r="G130" s="192"/>
      <c r="H130" s="192"/>
      <c r="I130" s="192">
        <v>10.72</v>
      </c>
      <c r="J130" s="192">
        <v>11.56</v>
      </c>
      <c r="K130" s="192">
        <v>10.029999999999999</v>
      </c>
      <c r="L130" s="192"/>
      <c r="M130" s="192"/>
      <c r="N130" s="405"/>
      <c r="O130" s="99">
        <f t="shared" si="99"/>
        <v>32.31</v>
      </c>
      <c r="P130" s="188"/>
      <c r="Q130" s="189"/>
      <c r="R130" s="184"/>
      <c r="S130" s="182"/>
      <c r="T130" s="185"/>
      <c r="U130" s="184"/>
      <c r="V130" s="415"/>
      <c r="X130" s="60"/>
    </row>
    <row r="131" spans="1:24" s="59" customFormat="1" ht="30" customHeight="1" outlineLevel="1">
      <c r="A131" s="66" t="s">
        <v>566</v>
      </c>
      <c r="B131" s="205"/>
      <c r="C131" s="413" t="s">
        <v>129</v>
      </c>
      <c r="D131" s="310"/>
      <c r="E131" s="23" t="s">
        <v>4</v>
      </c>
      <c r="F131" s="192"/>
      <c r="G131" s="192"/>
      <c r="H131" s="192"/>
      <c r="I131" s="192">
        <v>10.72</v>
      </c>
      <c r="J131" s="192">
        <f>J130</f>
        <v>11.56</v>
      </c>
      <c r="K131" s="192">
        <f>K130</f>
        <v>10.029999999999999</v>
      </c>
      <c r="L131" s="192"/>
      <c r="M131" s="192"/>
      <c r="N131" s="405"/>
      <c r="O131" s="99">
        <f t="shared" si="99"/>
        <v>32.31</v>
      </c>
      <c r="P131" s="188"/>
      <c r="Q131" s="189"/>
      <c r="R131" s="184"/>
      <c r="S131" s="182"/>
      <c r="T131" s="185"/>
      <c r="U131" s="184"/>
      <c r="V131" s="200"/>
      <c r="X131" s="60"/>
    </row>
    <row r="132" spans="1:24" s="59" customFormat="1" ht="30" customHeight="1" outlineLevel="1">
      <c r="A132" s="66" t="s">
        <v>567</v>
      </c>
      <c r="B132" s="202"/>
      <c r="C132" s="307" t="s">
        <v>90</v>
      </c>
      <c r="D132" s="266">
        <v>50.4</v>
      </c>
      <c r="E132" s="23" t="s">
        <v>30</v>
      </c>
      <c r="F132" s="400"/>
      <c r="G132" s="400"/>
      <c r="H132" s="400"/>
      <c r="I132" s="400">
        <f>10.7*D132</f>
        <v>539</v>
      </c>
      <c r="J132" s="400">
        <f>11.56*D132</f>
        <v>583</v>
      </c>
      <c r="K132" s="400">
        <f>10.03*D132</f>
        <v>506</v>
      </c>
      <c r="L132" s="92"/>
      <c r="M132" s="92"/>
      <c r="N132" s="122"/>
      <c r="O132" s="99">
        <f t="shared" si="99"/>
        <v>1628</v>
      </c>
      <c r="P132" s="188"/>
      <c r="Q132" s="189"/>
      <c r="R132" s="184"/>
      <c r="S132" s="182"/>
      <c r="T132" s="185"/>
      <c r="U132" s="184"/>
      <c r="V132" s="200"/>
      <c r="X132" s="60"/>
    </row>
    <row r="133" spans="1:24" s="59" customFormat="1" ht="30" customHeight="1" outlineLevel="1">
      <c r="A133" s="66" t="s">
        <v>568</v>
      </c>
      <c r="B133" s="202"/>
      <c r="C133" s="308" t="s">
        <v>59</v>
      </c>
      <c r="D133" s="311">
        <v>2.3E-2</v>
      </c>
      <c r="E133" s="23" t="s">
        <v>34</v>
      </c>
      <c r="F133" s="92"/>
      <c r="G133" s="92"/>
      <c r="H133" s="92"/>
      <c r="I133" s="418">
        <f>10.7*D133</f>
        <v>0.246</v>
      </c>
      <c r="J133" s="418">
        <f>11.56*D133</f>
        <v>0.26600000000000001</v>
      </c>
      <c r="K133" s="418">
        <f>10.03*D133</f>
        <v>0.23100000000000001</v>
      </c>
      <c r="L133" s="92"/>
      <c r="M133" s="92"/>
      <c r="N133" s="122"/>
      <c r="O133" s="99">
        <f t="shared" si="99"/>
        <v>0.74</v>
      </c>
      <c r="P133" s="188"/>
      <c r="Q133" s="106"/>
      <c r="R133" s="69"/>
      <c r="S133" s="70"/>
      <c r="T133" s="71"/>
      <c r="U133" s="69"/>
      <c r="V133" s="200"/>
      <c r="X133" s="60"/>
    </row>
    <row r="134" spans="1:24" s="59" customFormat="1" ht="30" customHeight="1" outlineLevel="1">
      <c r="A134" s="66" t="s">
        <v>168</v>
      </c>
      <c r="B134" s="202"/>
      <c r="C134" s="231" t="s">
        <v>354</v>
      </c>
      <c r="D134" s="313"/>
      <c r="E134" s="132" t="s">
        <v>4</v>
      </c>
      <c r="F134" s="193">
        <v>46.28</v>
      </c>
      <c r="G134" s="193">
        <v>26.52</v>
      </c>
      <c r="H134" s="193">
        <v>52.58</v>
      </c>
      <c r="I134" s="193">
        <v>49.17</v>
      </c>
      <c r="J134" s="193">
        <v>41.67</v>
      </c>
      <c r="K134" s="193">
        <v>58.18</v>
      </c>
      <c r="L134" s="192"/>
      <c r="M134" s="192"/>
      <c r="N134" s="122"/>
      <c r="O134" s="123">
        <f t="shared" ref="O134:O135" si="104">SUM(F134:N134)</f>
        <v>274.39999999999998</v>
      </c>
      <c r="P134" s="182">
        <f>P135*O135/O134</f>
        <v>0</v>
      </c>
      <c r="Q134" s="183"/>
      <c r="R134" s="184">
        <f t="shared" ref="R134" si="105">P134+Q134</f>
        <v>0</v>
      </c>
      <c r="S134" s="182">
        <f>O134*P134</f>
        <v>0</v>
      </c>
      <c r="T134" s="185">
        <f>O134*Q134</f>
        <v>0</v>
      </c>
      <c r="U134" s="184">
        <f>S134+T134</f>
        <v>0</v>
      </c>
      <c r="V134" s="200"/>
      <c r="X134" s="60"/>
    </row>
    <row r="135" spans="1:24" s="59" customFormat="1" ht="30" customHeight="1" outlineLevel="1">
      <c r="A135" s="66" t="s">
        <v>169</v>
      </c>
      <c r="B135" s="203">
        <v>4100017642</v>
      </c>
      <c r="C135" s="157" t="s">
        <v>108</v>
      </c>
      <c r="D135" s="314"/>
      <c r="E135" s="116" t="s">
        <v>4</v>
      </c>
      <c r="F135" s="192">
        <f t="shared" ref="F135:K135" si="106">F134</f>
        <v>46.28</v>
      </c>
      <c r="G135" s="192">
        <f t="shared" si="106"/>
        <v>26.52</v>
      </c>
      <c r="H135" s="192">
        <f t="shared" si="106"/>
        <v>52.58</v>
      </c>
      <c r="I135" s="192">
        <f t="shared" si="106"/>
        <v>49.17</v>
      </c>
      <c r="J135" s="192">
        <f t="shared" si="106"/>
        <v>41.67</v>
      </c>
      <c r="K135" s="192">
        <f t="shared" si="106"/>
        <v>58.18</v>
      </c>
      <c r="L135" s="192"/>
      <c r="M135" s="192"/>
      <c r="N135" s="122"/>
      <c r="O135" s="123">
        <f t="shared" si="104"/>
        <v>274.39999999999998</v>
      </c>
      <c r="P135" s="186"/>
      <c r="Q135" s="187"/>
      <c r="R135" s="184"/>
      <c r="S135" s="182"/>
      <c r="T135" s="185"/>
      <c r="U135" s="184"/>
      <c r="V135" s="397" t="s">
        <v>405</v>
      </c>
      <c r="X135" s="60"/>
    </row>
    <row r="136" spans="1:24" s="59" customFormat="1" ht="44.25" customHeight="1" outlineLevel="1">
      <c r="A136" s="66" t="s">
        <v>170</v>
      </c>
      <c r="B136" s="202"/>
      <c r="C136" s="90" t="s">
        <v>143</v>
      </c>
      <c r="D136" s="315"/>
      <c r="E136" s="107" t="s">
        <v>4</v>
      </c>
      <c r="F136" s="102">
        <v>379.02</v>
      </c>
      <c r="G136" s="102">
        <v>250.92</v>
      </c>
      <c r="H136" s="102">
        <v>102.49</v>
      </c>
      <c r="I136" s="102">
        <v>271.24</v>
      </c>
      <c r="J136" s="102">
        <v>62.32</v>
      </c>
      <c r="K136" s="102">
        <v>63.22</v>
      </c>
      <c r="L136" s="102"/>
      <c r="M136" s="102"/>
      <c r="N136" s="121"/>
      <c r="O136" s="190">
        <f>SUM(F136:N136)</f>
        <v>1129.21</v>
      </c>
      <c r="P136" s="182">
        <f>(SUMPRODUCT(O137:O141,P137:P141)/O136)</f>
        <v>0</v>
      </c>
      <c r="Q136" s="183"/>
      <c r="R136" s="184">
        <f t="shared" ref="R136" si="107">P136+Q136</f>
        <v>0</v>
      </c>
      <c r="S136" s="182">
        <f t="shared" ref="S136" si="108">O136*P136</f>
        <v>0</v>
      </c>
      <c r="T136" s="185">
        <f t="shared" ref="T136" si="109">O136*Q136</f>
        <v>0</v>
      </c>
      <c r="U136" s="184">
        <f t="shared" ref="U136" si="110">S136+T136</f>
        <v>0</v>
      </c>
      <c r="V136" s="200"/>
      <c r="X136" s="60"/>
    </row>
    <row r="137" spans="1:24" s="59" customFormat="1" ht="33" customHeight="1" outlineLevel="1">
      <c r="A137" s="66" t="s">
        <v>171</v>
      </c>
      <c r="B137" s="204">
        <v>4100027698</v>
      </c>
      <c r="C137" s="194" t="s">
        <v>110</v>
      </c>
      <c r="D137" s="19">
        <v>50.4</v>
      </c>
      <c r="E137" s="19" t="s">
        <v>30</v>
      </c>
      <c r="F137" s="400">
        <f>235.32*D137</f>
        <v>11860</v>
      </c>
      <c r="G137" s="400">
        <f>129.4*D137</f>
        <v>6522</v>
      </c>
      <c r="H137" s="400">
        <f>28.76*D137</f>
        <v>1450</v>
      </c>
      <c r="I137" s="400">
        <f>69.75*D137</f>
        <v>3515</v>
      </c>
      <c r="J137" s="400"/>
      <c r="K137" s="400">
        <f>18.57*D137</f>
        <v>936</v>
      </c>
      <c r="L137" s="92"/>
      <c r="M137" s="92"/>
      <c r="N137" s="122"/>
      <c r="O137" s="123">
        <f>SUM(F137:N137)</f>
        <v>24283</v>
      </c>
      <c r="P137" s="188"/>
      <c r="Q137" s="189"/>
      <c r="R137" s="184"/>
      <c r="S137" s="182"/>
      <c r="T137" s="185"/>
      <c r="U137" s="184"/>
      <c r="V137" s="200"/>
      <c r="X137" s="60"/>
    </row>
    <row r="138" spans="1:24" s="59" customFormat="1" ht="33" customHeight="1" outlineLevel="1">
      <c r="A138" s="66" t="s">
        <v>172</v>
      </c>
      <c r="B138" s="204">
        <v>4100027470</v>
      </c>
      <c r="C138" s="194" t="s">
        <v>111</v>
      </c>
      <c r="D138" s="19">
        <v>50.4</v>
      </c>
      <c r="E138" s="19" t="s">
        <v>30</v>
      </c>
      <c r="F138" s="92"/>
      <c r="G138" s="92"/>
      <c r="H138" s="400">
        <f>45.86*D138</f>
        <v>2311</v>
      </c>
      <c r="I138" s="92"/>
      <c r="J138" s="400">
        <f>16.76*D138</f>
        <v>845</v>
      </c>
      <c r="K138" s="400">
        <f>44.65*D138</f>
        <v>2250</v>
      </c>
      <c r="L138" s="92"/>
      <c r="M138" s="92"/>
      <c r="N138" s="122"/>
      <c r="O138" s="123">
        <f t="shared" ref="O138:O141" si="111">SUM(F138:N138)</f>
        <v>5406</v>
      </c>
      <c r="P138" s="188"/>
      <c r="Q138" s="189"/>
      <c r="R138" s="184"/>
      <c r="S138" s="182"/>
      <c r="T138" s="185"/>
      <c r="U138" s="184"/>
      <c r="V138" s="200"/>
      <c r="X138" s="60"/>
    </row>
    <row r="139" spans="1:24" s="59" customFormat="1" ht="33" customHeight="1" outlineLevel="1">
      <c r="A139" s="66" t="s">
        <v>173</v>
      </c>
      <c r="B139" s="204">
        <v>4100025575</v>
      </c>
      <c r="C139" s="194" t="s">
        <v>112</v>
      </c>
      <c r="D139" s="19">
        <v>50.4</v>
      </c>
      <c r="E139" s="19" t="s">
        <v>30</v>
      </c>
      <c r="F139" s="400">
        <f>143.7*D139</f>
        <v>7242</v>
      </c>
      <c r="G139" s="400">
        <f>121.52*D139</f>
        <v>6125</v>
      </c>
      <c r="H139" s="400">
        <f>14.13*D139</f>
        <v>712</v>
      </c>
      <c r="I139" s="400">
        <f>201.49*D139</f>
        <v>10155</v>
      </c>
      <c r="J139" s="400">
        <f>45.56*D139</f>
        <v>2296</v>
      </c>
      <c r="K139" s="92"/>
      <c r="L139" s="92"/>
      <c r="M139" s="92"/>
      <c r="N139" s="122"/>
      <c r="O139" s="123">
        <f t="shared" si="111"/>
        <v>26530</v>
      </c>
      <c r="P139" s="188"/>
      <c r="Q139" s="106"/>
      <c r="R139" s="69"/>
      <c r="S139" s="70"/>
      <c r="T139" s="71"/>
      <c r="U139" s="69"/>
      <c r="V139" s="200"/>
      <c r="X139" s="60"/>
    </row>
    <row r="140" spans="1:24" s="59" customFormat="1" ht="33" customHeight="1" outlineLevel="1">
      <c r="A140" s="66" t="s">
        <v>429</v>
      </c>
      <c r="B140" s="204">
        <v>4100027693</v>
      </c>
      <c r="C140" s="194" t="s">
        <v>113</v>
      </c>
      <c r="D140" s="19">
        <v>50.4</v>
      </c>
      <c r="E140" s="19" t="s">
        <v>30</v>
      </c>
      <c r="F140" s="92"/>
      <c r="G140" s="92"/>
      <c r="H140" s="400">
        <f>13.74*D140</f>
        <v>692</v>
      </c>
      <c r="I140" s="92"/>
      <c r="J140" s="92"/>
      <c r="K140" s="92"/>
      <c r="L140" s="92"/>
      <c r="M140" s="92"/>
      <c r="N140" s="122"/>
      <c r="O140" s="123">
        <f t="shared" si="111"/>
        <v>692</v>
      </c>
      <c r="P140" s="188"/>
      <c r="Q140" s="106"/>
      <c r="R140" s="69"/>
      <c r="S140" s="70"/>
      <c r="T140" s="71"/>
      <c r="U140" s="69"/>
      <c r="V140" s="200"/>
      <c r="X140" s="60"/>
    </row>
    <row r="141" spans="1:24" s="59" customFormat="1" ht="33" customHeight="1" outlineLevel="1">
      <c r="A141" s="66" t="s">
        <v>430</v>
      </c>
      <c r="B141" s="202"/>
      <c r="C141" s="308" t="s">
        <v>32</v>
      </c>
      <c r="D141" s="249">
        <v>51</v>
      </c>
      <c r="E141" s="23" t="s">
        <v>31</v>
      </c>
      <c r="F141" s="92">
        <f>379.02*D141</f>
        <v>19330.02</v>
      </c>
      <c r="G141" s="92">
        <f>250.92*D141</f>
        <v>12796.92</v>
      </c>
      <c r="H141" s="92">
        <f>102.49*D141</f>
        <v>5226.99</v>
      </c>
      <c r="I141" s="92">
        <f>271.24*D141</f>
        <v>13833.24</v>
      </c>
      <c r="J141" s="92">
        <f>62.32*D141</f>
        <v>3178.32</v>
      </c>
      <c r="K141" s="92">
        <f>63.22*D141</f>
        <v>3224.22</v>
      </c>
      <c r="L141" s="92"/>
      <c r="M141" s="92"/>
      <c r="N141" s="122"/>
      <c r="O141" s="123">
        <f t="shared" si="111"/>
        <v>57589.71</v>
      </c>
      <c r="P141" s="188"/>
      <c r="Q141" s="106"/>
      <c r="R141" s="69"/>
      <c r="S141" s="70"/>
      <c r="T141" s="71"/>
      <c r="U141" s="69"/>
      <c r="V141" s="200"/>
      <c r="X141" s="60"/>
    </row>
    <row r="142" spans="1:24" s="59" customFormat="1" ht="48.75" customHeight="1" outlineLevel="1">
      <c r="A142" s="66" t="s">
        <v>174</v>
      </c>
      <c r="B142" s="205"/>
      <c r="C142" s="90" t="s">
        <v>144</v>
      </c>
      <c r="D142" s="315"/>
      <c r="E142" s="107" t="s">
        <v>4</v>
      </c>
      <c r="F142" s="193">
        <f>F143</f>
        <v>491.11</v>
      </c>
      <c r="G142" s="193">
        <f t="shared" ref="G142:K142" si="112">G143</f>
        <v>269.2</v>
      </c>
      <c r="H142" s="193">
        <f t="shared" si="112"/>
        <v>833.42</v>
      </c>
      <c r="I142" s="193">
        <f t="shared" si="112"/>
        <v>538.83000000000004</v>
      </c>
      <c r="J142" s="193">
        <f t="shared" si="112"/>
        <v>381.03</v>
      </c>
      <c r="K142" s="193">
        <f t="shared" si="112"/>
        <v>558.36</v>
      </c>
      <c r="L142" s="193"/>
      <c r="M142" s="193"/>
      <c r="N142" s="406"/>
      <c r="O142" s="190">
        <f>SUM(F142:N142)</f>
        <v>3071.95</v>
      </c>
      <c r="P142" s="182">
        <f>(SUMPRODUCT(O143:O148,P143:P148)/O142)</f>
        <v>0</v>
      </c>
      <c r="Q142" s="183"/>
      <c r="R142" s="184">
        <f t="shared" ref="R142" si="113">P142+Q142</f>
        <v>0</v>
      </c>
      <c r="S142" s="182">
        <f t="shared" ref="S142" si="114">O142*P142</f>
        <v>0</v>
      </c>
      <c r="T142" s="185">
        <f t="shared" ref="T142" si="115">O142*Q142</f>
        <v>0</v>
      </c>
      <c r="U142" s="184">
        <f t="shared" ref="U142" si="116">S142+T142</f>
        <v>0</v>
      </c>
      <c r="V142" s="200"/>
      <c r="X142" s="60"/>
    </row>
    <row r="143" spans="1:24" s="59" customFormat="1" ht="33" customHeight="1" outlineLevel="1">
      <c r="A143" s="66" t="s">
        <v>203</v>
      </c>
      <c r="B143" s="205"/>
      <c r="C143" s="309" t="s">
        <v>18</v>
      </c>
      <c r="D143" s="265"/>
      <c r="E143" s="265" t="s">
        <v>4</v>
      </c>
      <c r="F143" s="192">
        <f>441.56+49.55</f>
        <v>491.11</v>
      </c>
      <c r="G143" s="192">
        <f>110.82+18.23+140.15</f>
        <v>269.2</v>
      </c>
      <c r="H143" s="192">
        <f>5.99+605.47+221.96</f>
        <v>833.42</v>
      </c>
      <c r="I143" s="192">
        <f>335.22+33.12+170.49</f>
        <v>538.83000000000004</v>
      </c>
      <c r="J143" s="192">
        <f>150.16+157.05+73.82</f>
        <v>381.03</v>
      </c>
      <c r="K143" s="192">
        <f>513.49+44.87</f>
        <v>558.36</v>
      </c>
      <c r="L143" s="192"/>
      <c r="M143" s="192"/>
      <c r="N143" s="405"/>
      <c r="O143" s="123">
        <f>SUM(F143:N143)</f>
        <v>3071.95</v>
      </c>
      <c r="P143" s="188"/>
      <c r="Q143" s="189"/>
      <c r="R143" s="184"/>
      <c r="S143" s="182"/>
      <c r="T143" s="185"/>
      <c r="U143" s="184"/>
      <c r="V143" s="200"/>
      <c r="X143" s="60"/>
    </row>
    <row r="144" spans="1:24" s="59" customFormat="1" ht="33" customHeight="1" outlineLevel="1">
      <c r="A144" s="66" t="s">
        <v>204</v>
      </c>
      <c r="B144" s="253">
        <v>4100027698</v>
      </c>
      <c r="C144" s="194" t="s">
        <v>110</v>
      </c>
      <c r="D144" s="19">
        <v>50.4</v>
      </c>
      <c r="E144" s="19" t="s">
        <v>30</v>
      </c>
      <c r="F144" s="403">
        <f>174.85*D144</f>
        <v>8812</v>
      </c>
      <c r="G144" s="403">
        <f>45.75*D144</f>
        <v>2306</v>
      </c>
      <c r="H144" s="403">
        <f>2.95*D144</f>
        <v>149</v>
      </c>
      <c r="I144" s="403">
        <f>28.59*D144</f>
        <v>1441</v>
      </c>
      <c r="J144" s="403"/>
      <c r="K144" s="403"/>
      <c r="L144" s="403"/>
      <c r="M144" s="192"/>
      <c r="N144" s="405"/>
      <c r="O144" s="123">
        <f t="shared" ref="O144:O153" si="117">SUM(F144:N144)</f>
        <v>12708</v>
      </c>
      <c r="P144" s="188"/>
      <c r="Q144" s="189"/>
      <c r="R144" s="184"/>
      <c r="S144" s="182"/>
      <c r="T144" s="185"/>
      <c r="U144" s="184"/>
      <c r="V144" s="200"/>
      <c r="X144" s="60"/>
    </row>
    <row r="145" spans="1:24" s="59" customFormat="1" ht="33" customHeight="1" outlineLevel="1">
      <c r="A145" s="66" t="s">
        <v>205</v>
      </c>
      <c r="B145" s="253">
        <v>4100027470</v>
      </c>
      <c r="C145" s="194" t="s">
        <v>111</v>
      </c>
      <c r="D145" s="19">
        <v>50.4</v>
      </c>
      <c r="E145" s="19" t="s">
        <v>30</v>
      </c>
      <c r="F145" s="403"/>
      <c r="G145" s="403"/>
      <c r="H145" s="403">
        <f>650.37*D145</f>
        <v>32779</v>
      </c>
      <c r="I145" s="403">
        <f>34.27*D145</f>
        <v>1727</v>
      </c>
      <c r="J145" s="403">
        <f>177.84*D145</f>
        <v>8963</v>
      </c>
      <c r="K145" s="403">
        <f>551.88*D145</f>
        <v>27815</v>
      </c>
      <c r="L145" s="403"/>
      <c r="M145" s="192"/>
      <c r="N145" s="405"/>
      <c r="O145" s="123">
        <f t="shared" si="117"/>
        <v>71284</v>
      </c>
      <c r="P145" s="188"/>
      <c r="Q145" s="106"/>
      <c r="R145" s="69"/>
      <c r="S145" s="70"/>
      <c r="T145" s="71"/>
      <c r="U145" s="69"/>
      <c r="V145" s="200"/>
      <c r="X145" s="60"/>
    </row>
    <row r="146" spans="1:24" s="59" customFormat="1" ht="33" customHeight="1" outlineLevel="1">
      <c r="A146" s="66" t="s">
        <v>491</v>
      </c>
      <c r="B146" s="253">
        <v>4100025575</v>
      </c>
      <c r="C146" s="194" t="s">
        <v>112</v>
      </c>
      <c r="D146" s="19">
        <v>50.4</v>
      </c>
      <c r="E146" s="19" t="s">
        <v>30</v>
      </c>
      <c r="F146" s="403">
        <f>308.97*D146</f>
        <v>15572</v>
      </c>
      <c r="G146" s="403">
        <f>(74.52+126.71)*D146</f>
        <v>10142</v>
      </c>
      <c r="H146" s="403">
        <f>3.04*D146</f>
        <v>153</v>
      </c>
      <c r="I146" s="403">
        <f>334.16*D146</f>
        <v>16842</v>
      </c>
      <c r="J146" s="403">
        <f>168.39*D146</f>
        <v>8487</v>
      </c>
      <c r="K146" s="403"/>
      <c r="L146" s="403"/>
      <c r="M146" s="192"/>
      <c r="N146" s="405"/>
      <c r="O146" s="123">
        <f t="shared" si="117"/>
        <v>51196</v>
      </c>
      <c r="P146" s="188"/>
      <c r="Q146" s="106"/>
      <c r="R146" s="69"/>
      <c r="S146" s="70"/>
      <c r="T146" s="71"/>
      <c r="U146" s="69"/>
      <c r="V146" s="200"/>
      <c r="X146" s="60"/>
    </row>
    <row r="147" spans="1:24" s="59" customFormat="1" ht="33" customHeight="1" outlineLevel="1">
      <c r="A147" s="66" t="s">
        <v>571</v>
      </c>
      <c r="B147" s="253">
        <v>4100027693</v>
      </c>
      <c r="C147" s="194" t="s">
        <v>113</v>
      </c>
      <c r="D147" s="263">
        <v>50.4</v>
      </c>
      <c r="E147" s="19" t="s">
        <v>30</v>
      </c>
      <c r="F147" s="403">
        <f>49.06*D147</f>
        <v>2473</v>
      </c>
      <c r="G147" s="403">
        <f>18.23*D147</f>
        <v>919</v>
      </c>
      <c r="H147" s="403">
        <f>261.58*D147</f>
        <v>13184</v>
      </c>
      <c r="I147" s="403">
        <f>177.13*D147</f>
        <v>8927</v>
      </c>
      <c r="J147" s="403">
        <f>73.82*D147</f>
        <v>3721</v>
      </c>
      <c r="K147" s="403">
        <f>44.32*D147</f>
        <v>2234</v>
      </c>
      <c r="L147" s="403"/>
      <c r="M147" s="192"/>
      <c r="N147" s="405"/>
      <c r="O147" s="123">
        <f t="shared" si="117"/>
        <v>31458</v>
      </c>
      <c r="P147" s="188"/>
      <c r="Q147" s="106"/>
      <c r="R147" s="69"/>
      <c r="S147" s="70"/>
      <c r="T147" s="71"/>
      <c r="U147" s="69"/>
      <c r="V147" s="200"/>
      <c r="X147" s="60"/>
    </row>
    <row r="148" spans="1:24" s="59" customFormat="1" ht="33" customHeight="1" outlineLevel="1">
      <c r="A148" s="66" t="s">
        <v>572</v>
      </c>
      <c r="B148" s="205"/>
      <c r="C148" s="308" t="s">
        <v>32</v>
      </c>
      <c r="D148" s="249">
        <v>51</v>
      </c>
      <c r="E148" s="256" t="s">
        <v>31</v>
      </c>
      <c r="F148" s="192">
        <f>532.88*D148</f>
        <v>27176.880000000001</v>
      </c>
      <c r="G148" s="192">
        <f>(138.5+126.71)*D148</f>
        <v>13525.71</v>
      </c>
      <c r="H148" s="192">
        <f>917.94*D148</f>
        <v>46814.94</v>
      </c>
      <c r="I148" s="192">
        <f>574.15*D148</f>
        <v>29281.65</v>
      </c>
      <c r="J148" s="192">
        <f>420.05*D148</f>
        <v>21422.55</v>
      </c>
      <c r="K148" s="192">
        <f>596.2*D148</f>
        <v>30406.2</v>
      </c>
      <c r="L148" s="192"/>
      <c r="M148" s="192"/>
      <c r="N148" s="405"/>
      <c r="O148" s="123">
        <f t="shared" si="117"/>
        <v>168627.93</v>
      </c>
      <c r="P148" s="188"/>
      <c r="Q148" s="106"/>
      <c r="R148" s="69"/>
      <c r="S148" s="70"/>
      <c r="T148" s="71"/>
      <c r="U148" s="69"/>
      <c r="V148" s="200"/>
      <c r="X148" s="60"/>
    </row>
    <row r="149" spans="1:24" s="59" customFormat="1" ht="40.5" customHeight="1" outlineLevel="1">
      <c r="A149" s="66" t="s">
        <v>202</v>
      </c>
      <c r="B149" s="205"/>
      <c r="C149" s="90" t="s">
        <v>423</v>
      </c>
      <c r="D149" s="315"/>
      <c r="E149" s="107" t="s">
        <v>4</v>
      </c>
      <c r="F149" s="193">
        <f>F150</f>
        <v>16.72</v>
      </c>
      <c r="G149" s="193">
        <f t="shared" ref="G149:H149" si="118">G150</f>
        <v>94.07</v>
      </c>
      <c r="H149" s="193">
        <f t="shared" si="118"/>
        <v>9.9</v>
      </c>
      <c r="I149" s="193"/>
      <c r="J149" s="193"/>
      <c r="K149" s="193"/>
      <c r="L149" s="193"/>
      <c r="M149" s="193"/>
      <c r="N149" s="406"/>
      <c r="O149" s="190">
        <f>SUM(F149:N149)</f>
        <v>120.69</v>
      </c>
      <c r="P149" s="182">
        <f>(SUMPRODUCT(O150:O153,P150:P153)/O149)</f>
        <v>0</v>
      </c>
      <c r="Q149" s="183"/>
      <c r="R149" s="184">
        <f t="shared" ref="R149" si="119">P149+Q149</f>
        <v>0</v>
      </c>
      <c r="S149" s="182">
        <f t="shared" ref="S149" si="120">O149*P149</f>
        <v>0</v>
      </c>
      <c r="T149" s="185">
        <f t="shared" ref="T149" si="121">O149*Q149</f>
        <v>0</v>
      </c>
      <c r="U149" s="184">
        <f t="shared" ref="U149" si="122">S149+T149</f>
        <v>0</v>
      </c>
      <c r="V149" s="200" t="s">
        <v>426</v>
      </c>
      <c r="X149" s="60"/>
    </row>
    <row r="150" spans="1:24" s="59" customFormat="1" ht="27.75" customHeight="1" outlineLevel="1">
      <c r="A150" s="66" t="s">
        <v>175</v>
      </c>
      <c r="B150" s="205"/>
      <c r="C150" s="309" t="s">
        <v>18</v>
      </c>
      <c r="D150" s="265"/>
      <c r="E150" s="265" t="s">
        <v>4</v>
      </c>
      <c r="F150" s="192">
        <v>16.72</v>
      </c>
      <c r="G150" s="192">
        <f>94.07</f>
        <v>94.07</v>
      </c>
      <c r="H150" s="192">
        <v>9.9</v>
      </c>
      <c r="I150" s="192"/>
      <c r="J150" s="192"/>
      <c r="K150" s="192"/>
      <c r="L150" s="192"/>
      <c r="M150" s="192"/>
      <c r="N150" s="405"/>
      <c r="O150" s="123">
        <f t="shared" si="117"/>
        <v>120.69</v>
      </c>
      <c r="P150" s="188"/>
      <c r="Q150" s="189"/>
      <c r="R150" s="184"/>
      <c r="S150" s="182"/>
      <c r="T150" s="185"/>
      <c r="U150" s="184"/>
      <c r="V150" s="200"/>
      <c r="X150" s="60"/>
    </row>
    <row r="151" spans="1:24" s="59" customFormat="1" ht="27.75" customHeight="1" outlineLevel="1">
      <c r="A151" s="66" t="s">
        <v>176</v>
      </c>
      <c r="B151" s="205"/>
      <c r="C151" s="309" t="s">
        <v>17</v>
      </c>
      <c r="D151" s="316"/>
      <c r="E151" s="265" t="s">
        <v>4</v>
      </c>
      <c r="F151" s="192">
        <v>16.72</v>
      </c>
      <c r="G151" s="192">
        <v>94.07</v>
      </c>
      <c r="H151" s="192">
        <v>10.46</v>
      </c>
      <c r="I151" s="192"/>
      <c r="J151" s="192"/>
      <c r="K151" s="192"/>
      <c r="L151" s="192"/>
      <c r="M151" s="192"/>
      <c r="N151" s="405"/>
      <c r="O151" s="123">
        <f t="shared" si="117"/>
        <v>121.25</v>
      </c>
      <c r="P151" s="188"/>
      <c r="Q151" s="189"/>
      <c r="R151" s="184"/>
      <c r="S151" s="182"/>
      <c r="T151" s="185"/>
      <c r="U151" s="184"/>
      <c r="V151" s="200"/>
      <c r="X151" s="60"/>
    </row>
    <row r="152" spans="1:24" s="59" customFormat="1" ht="27.75" customHeight="1" outlineLevel="1">
      <c r="A152" s="66" t="s">
        <v>177</v>
      </c>
      <c r="B152" s="253">
        <v>4100027693</v>
      </c>
      <c r="C152" s="194" t="s">
        <v>113</v>
      </c>
      <c r="D152" s="19">
        <v>50.4</v>
      </c>
      <c r="E152" s="19" t="s">
        <v>30</v>
      </c>
      <c r="F152" s="403">
        <f>16.72*D152</f>
        <v>843</v>
      </c>
      <c r="G152" s="403">
        <f>94.07*D152</f>
        <v>4741</v>
      </c>
      <c r="H152" s="403">
        <f>10.46*D152</f>
        <v>527</v>
      </c>
      <c r="I152" s="192"/>
      <c r="J152" s="192"/>
      <c r="K152" s="192"/>
      <c r="L152" s="192"/>
      <c r="M152" s="192"/>
      <c r="N152" s="405"/>
      <c r="O152" s="123">
        <f t="shared" si="117"/>
        <v>6111</v>
      </c>
      <c r="P152" s="188"/>
      <c r="Q152" s="106"/>
      <c r="R152" s="69"/>
      <c r="S152" s="70"/>
      <c r="T152" s="71"/>
      <c r="U152" s="69"/>
      <c r="V152" s="201"/>
      <c r="X152" s="60"/>
    </row>
    <row r="153" spans="1:24" s="59" customFormat="1" ht="27.75" customHeight="1" outlineLevel="1">
      <c r="A153" s="66" t="s">
        <v>431</v>
      </c>
      <c r="B153" s="205"/>
      <c r="C153" s="308" t="s">
        <v>32</v>
      </c>
      <c r="D153" s="249">
        <v>51</v>
      </c>
      <c r="E153" s="256" t="s">
        <v>31</v>
      </c>
      <c r="F153" s="192">
        <f>16.72*D153</f>
        <v>852.72</v>
      </c>
      <c r="G153" s="192">
        <f>94.07*D153</f>
        <v>4797.57</v>
      </c>
      <c r="H153" s="192">
        <f>10.46*D153</f>
        <v>533.46</v>
      </c>
      <c r="I153" s="192"/>
      <c r="J153" s="192"/>
      <c r="K153" s="192"/>
      <c r="L153" s="192"/>
      <c r="M153" s="192"/>
      <c r="N153" s="405"/>
      <c r="O153" s="123">
        <f t="shared" si="117"/>
        <v>6183.75</v>
      </c>
      <c r="P153" s="188"/>
      <c r="Q153" s="106"/>
      <c r="R153" s="69"/>
      <c r="S153" s="70"/>
      <c r="T153" s="71"/>
      <c r="U153" s="69"/>
      <c r="V153" s="200"/>
      <c r="X153" s="60"/>
    </row>
    <row r="154" spans="1:24" s="59" customFormat="1" ht="38.25" customHeight="1" outlineLevel="1">
      <c r="A154" s="66" t="s">
        <v>178</v>
      </c>
      <c r="B154" s="202"/>
      <c r="C154" s="90" t="s">
        <v>145</v>
      </c>
      <c r="D154" s="315"/>
      <c r="E154" s="107" t="s">
        <v>4</v>
      </c>
      <c r="F154" s="102">
        <f>F155</f>
        <v>20.25</v>
      </c>
      <c r="G154" s="102">
        <f>G155</f>
        <v>8.74</v>
      </c>
      <c r="H154" s="102">
        <f>H155</f>
        <v>27.16</v>
      </c>
      <c r="I154" s="102"/>
      <c r="J154" s="18"/>
      <c r="K154" s="18"/>
      <c r="L154" s="18"/>
      <c r="M154" s="18"/>
      <c r="N154" s="114"/>
      <c r="O154" s="190">
        <f t="shared" si="99"/>
        <v>56.15</v>
      </c>
      <c r="P154" s="182">
        <f>(SUMPRODUCT(O155:O159,P155:P159)/O154)</f>
        <v>0</v>
      </c>
      <c r="Q154" s="183"/>
      <c r="R154" s="184">
        <f t="shared" ref="R154" si="123">P154+Q154</f>
        <v>0</v>
      </c>
      <c r="S154" s="182">
        <f t="shared" ref="S154" si="124">O154*P154</f>
        <v>0</v>
      </c>
      <c r="T154" s="185">
        <f t="shared" ref="T154" si="125">O154*Q154</f>
        <v>0</v>
      </c>
      <c r="U154" s="184">
        <f t="shared" ref="U154" si="126">S154+T154</f>
        <v>0</v>
      </c>
      <c r="V154" s="200"/>
      <c r="X154" s="60"/>
    </row>
    <row r="155" spans="1:24" s="59" customFormat="1" ht="32.25" customHeight="1" outlineLevel="1">
      <c r="A155" s="66" t="s">
        <v>432</v>
      </c>
      <c r="B155" s="202"/>
      <c r="C155" s="309" t="s">
        <v>17</v>
      </c>
      <c r="D155" s="316"/>
      <c r="E155" s="6" t="s">
        <v>4</v>
      </c>
      <c r="F155" s="92">
        <v>20.25</v>
      </c>
      <c r="G155" s="92">
        <v>8.74</v>
      </c>
      <c r="H155" s="92">
        <v>27.16</v>
      </c>
      <c r="I155" s="92"/>
      <c r="J155" s="92"/>
      <c r="K155" s="92"/>
      <c r="L155" s="92"/>
      <c r="M155" s="92"/>
      <c r="N155" s="122"/>
      <c r="O155" s="123">
        <f t="shared" si="99"/>
        <v>56.15</v>
      </c>
      <c r="P155" s="188"/>
      <c r="Q155" s="189"/>
      <c r="R155" s="184"/>
      <c r="S155" s="182"/>
      <c r="T155" s="185"/>
      <c r="U155" s="184"/>
      <c r="V155" s="200"/>
      <c r="X155" s="60"/>
    </row>
    <row r="156" spans="1:24" s="59" customFormat="1" ht="32.25" customHeight="1" outlineLevel="1">
      <c r="A156" s="66" t="s">
        <v>433</v>
      </c>
      <c r="B156" s="204">
        <v>4100027470</v>
      </c>
      <c r="C156" s="194" t="s">
        <v>111</v>
      </c>
      <c r="D156" s="19">
        <v>50.4</v>
      </c>
      <c r="E156" s="19" t="s">
        <v>30</v>
      </c>
      <c r="F156" s="92"/>
      <c r="G156" s="92"/>
      <c r="H156" s="400">
        <f>27.16*D156</f>
        <v>1369</v>
      </c>
      <c r="I156" s="92"/>
      <c r="J156" s="92"/>
      <c r="K156" s="92"/>
      <c r="L156" s="92"/>
      <c r="M156" s="92"/>
      <c r="N156" s="122"/>
      <c r="O156" s="123">
        <f t="shared" si="99"/>
        <v>1369</v>
      </c>
      <c r="P156" s="188"/>
      <c r="Q156" s="189"/>
      <c r="R156" s="184"/>
      <c r="S156" s="182"/>
      <c r="T156" s="185"/>
      <c r="U156" s="184"/>
      <c r="V156" s="201"/>
      <c r="X156" s="60"/>
    </row>
    <row r="157" spans="1:24" s="59" customFormat="1" ht="32.25" customHeight="1" outlineLevel="1">
      <c r="A157" s="66" t="s">
        <v>434</v>
      </c>
      <c r="B157" s="204">
        <v>4100025575</v>
      </c>
      <c r="C157" s="194" t="s">
        <v>117</v>
      </c>
      <c r="D157" s="329">
        <v>54</v>
      </c>
      <c r="E157" s="19" t="s">
        <v>30</v>
      </c>
      <c r="F157" s="400">
        <f>20.25*D157</f>
        <v>1094</v>
      </c>
      <c r="G157" s="400">
        <f>8.74*D157</f>
        <v>472</v>
      </c>
      <c r="H157" s="92"/>
      <c r="I157" s="92"/>
      <c r="J157" s="92"/>
      <c r="K157" s="92"/>
      <c r="L157" s="92"/>
      <c r="M157" s="92"/>
      <c r="N157" s="122"/>
      <c r="O157" s="123">
        <f t="shared" si="99"/>
        <v>1566</v>
      </c>
      <c r="P157" s="188"/>
      <c r="Q157" s="106"/>
      <c r="R157" s="69"/>
      <c r="S157" s="70"/>
      <c r="T157" s="71"/>
      <c r="U157" s="69"/>
      <c r="V157" s="201"/>
      <c r="X157" s="60"/>
    </row>
    <row r="158" spans="1:24" s="59" customFormat="1" ht="32.25" customHeight="1" outlineLevel="1">
      <c r="A158" s="66" t="s">
        <v>492</v>
      </c>
      <c r="B158" s="202"/>
      <c r="C158" s="308" t="s">
        <v>32</v>
      </c>
      <c r="D158" s="249">
        <v>51</v>
      </c>
      <c r="E158" s="23" t="s">
        <v>31</v>
      </c>
      <c r="F158" s="92"/>
      <c r="G158" s="92"/>
      <c r="H158" s="92">
        <f>27.16*D158</f>
        <v>1385.16</v>
      </c>
      <c r="I158" s="92"/>
      <c r="J158" s="92"/>
      <c r="K158" s="92"/>
      <c r="L158" s="92"/>
      <c r="M158" s="92"/>
      <c r="N158" s="122"/>
      <c r="O158" s="123">
        <f t="shared" si="99"/>
        <v>1385.16</v>
      </c>
      <c r="P158" s="188"/>
      <c r="Q158" s="106"/>
      <c r="R158" s="69"/>
      <c r="S158" s="70"/>
      <c r="T158" s="71"/>
      <c r="U158" s="69"/>
      <c r="V158" s="201"/>
      <c r="X158" s="60"/>
    </row>
    <row r="159" spans="1:24" s="59" customFormat="1" ht="32.25" customHeight="1" outlineLevel="1">
      <c r="A159" s="66" t="s">
        <v>493</v>
      </c>
      <c r="B159" s="202"/>
      <c r="C159" s="308" t="s">
        <v>32</v>
      </c>
      <c r="D159" s="249">
        <v>55</v>
      </c>
      <c r="E159" s="23" t="s">
        <v>31</v>
      </c>
      <c r="F159" s="92">
        <f>20.25*D159</f>
        <v>1113.75</v>
      </c>
      <c r="G159" s="92">
        <f>8.74*D159</f>
        <v>480.7</v>
      </c>
      <c r="H159" s="92"/>
      <c r="I159" s="92"/>
      <c r="J159" s="92"/>
      <c r="K159" s="92"/>
      <c r="L159" s="92"/>
      <c r="M159" s="92"/>
      <c r="N159" s="122"/>
      <c r="O159" s="123">
        <f t="shared" si="99"/>
        <v>1594.45</v>
      </c>
      <c r="P159" s="188"/>
      <c r="Q159" s="106"/>
      <c r="R159" s="69"/>
      <c r="S159" s="70"/>
      <c r="T159" s="71"/>
      <c r="U159" s="69"/>
      <c r="V159" s="201"/>
      <c r="X159" s="60"/>
    </row>
    <row r="160" spans="1:24" s="59" customFormat="1" ht="48.75" customHeight="1" outlineLevel="1">
      <c r="A160" s="66" t="s">
        <v>179</v>
      </c>
      <c r="B160" s="202"/>
      <c r="C160" s="90" t="s">
        <v>146</v>
      </c>
      <c r="D160" s="315"/>
      <c r="E160" s="107" t="s">
        <v>4</v>
      </c>
      <c r="F160" s="102">
        <f>F161</f>
        <v>115.51</v>
      </c>
      <c r="G160" s="102">
        <f t="shared" ref="G160:K160" si="127">G161</f>
        <v>91.88</v>
      </c>
      <c r="H160" s="102">
        <f t="shared" si="127"/>
        <v>298.64999999999998</v>
      </c>
      <c r="I160" s="102">
        <f t="shared" si="127"/>
        <v>220.38</v>
      </c>
      <c r="J160" s="102">
        <f t="shared" si="127"/>
        <v>90.35</v>
      </c>
      <c r="K160" s="102">
        <f t="shared" si="127"/>
        <v>165.25</v>
      </c>
      <c r="L160" s="18"/>
      <c r="M160" s="18"/>
      <c r="N160" s="114"/>
      <c r="O160" s="190">
        <f t="shared" si="99"/>
        <v>982.02</v>
      </c>
      <c r="P160" s="182">
        <f>(SUMPRODUCT(O161:O166,P161:P166)/O160)</f>
        <v>0</v>
      </c>
      <c r="Q160" s="183"/>
      <c r="R160" s="184">
        <f t="shared" ref="R160" si="128">P160+Q160</f>
        <v>0</v>
      </c>
      <c r="S160" s="182">
        <f t="shared" ref="S160" si="129">O160*P160</f>
        <v>0</v>
      </c>
      <c r="T160" s="185">
        <f t="shared" ref="T160" si="130">O160*Q160</f>
        <v>0</v>
      </c>
      <c r="U160" s="184">
        <f t="shared" ref="U160" si="131">S160+T160</f>
        <v>0</v>
      </c>
      <c r="V160" s="200"/>
      <c r="X160" s="60"/>
    </row>
    <row r="161" spans="1:24" s="59" customFormat="1" ht="27.75" customHeight="1" outlineLevel="1">
      <c r="A161" s="66" t="s">
        <v>494</v>
      </c>
      <c r="B161" s="202"/>
      <c r="C161" s="309" t="s">
        <v>18</v>
      </c>
      <c r="D161" s="265"/>
      <c r="E161" s="11" t="s">
        <v>4</v>
      </c>
      <c r="F161" s="92">
        <v>115.51</v>
      </c>
      <c r="G161" s="92">
        <v>91.88</v>
      </c>
      <c r="H161" s="92">
        <f>3.72+294.93</f>
        <v>298.64999999999998</v>
      </c>
      <c r="I161" s="92">
        <f>192.91+27.47</f>
        <v>220.38</v>
      </c>
      <c r="J161" s="92">
        <f>51.05+39.3</f>
        <v>90.35</v>
      </c>
      <c r="K161" s="92">
        <v>165.25</v>
      </c>
      <c r="L161" s="92"/>
      <c r="M161" s="92"/>
      <c r="N161" s="122"/>
      <c r="O161" s="123">
        <f t="shared" si="99"/>
        <v>982.02</v>
      </c>
      <c r="P161" s="188"/>
      <c r="Q161" s="189"/>
      <c r="R161" s="184"/>
      <c r="S161" s="182"/>
      <c r="T161" s="185"/>
      <c r="U161" s="184"/>
      <c r="V161" s="200"/>
      <c r="X161" s="60"/>
    </row>
    <row r="162" spans="1:24" s="59" customFormat="1" ht="27.75" customHeight="1" outlineLevel="1">
      <c r="A162" s="66" t="s">
        <v>495</v>
      </c>
      <c r="B162" s="202"/>
      <c r="C162" s="309" t="s">
        <v>17</v>
      </c>
      <c r="D162" s="316"/>
      <c r="E162" s="6" t="s">
        <v>4</v>
      </c>
      <c r="F162" s="92">
        <v>118.97</v>
      </c>
      <c r="G162" s="92">
        <v>92.63</v>
      </c>
      <c r="H162" s="92">
        <v>304.64999999999998</v>
      </c>
      <c r="I162" s="92">
        <v>229.33</v>
      </c>
      <c r="J162" s="92">
        <v>89.86</v>
      </c>
      <c r="K162" s="92">
        <v>168.42</v>
      </c>
      <c r="L162" s="92"/>
      <c r="M162" s="92"/>
      <c r="N162" s="122"/>
      <c r="O162" s="123">
        <f t="shared" si="99"/>
        <v>1003.86</v>
      </c>
      <c r="P162" s="188"/>
      <c r="Q162" s="189"/>
      <c r="R162" s="184"/>
      <c r="S162" s="182"/>
      <c r="T162" s="185"/>
      <c r="U162" s="184"/>
      <c r="V162" s="200"/>
      <c r="X162" s="60"/>
    </row>
    <row r="163" spans="1:24" s="59" customFormat="1" ht="27.75" customHeight="1" outlineLevel="1">
      <c r="A163" s="66" t="s">
        <v>496</v>
      </c>
      <c r="B163" s="204">
        <v>4100027470</v>
      </c>
      <c r="C163" s="194" t="s">
        <v>111</v>
      </c>
      <c r="D163" s="19">
        <v>50.4</v>
      </c>
      <c r="E163" s="19" t="s">
        <v>30</v>
      </c>
      <c r="F163" s="92"/>
      <c r="G163" s="92"/>
      <c r="H163" s="400">
        <f>301*D163</f>
        <v>15170</v>
      </c>
      <c r="I163" s="400">
        <f>27.47*D163</f>
        <v>1384</v>
      </c>
      <c r="J163" s="400">
        <f>39.22*D163</f>
        <v>1977</v>
      </c>
      <c r="K163" s="400">
        <f>168.42*D163</f>
        <v>8488</v>
      </c>
      <c r="L163" s="92"/>
      <c r="M163" s="92"/>
      <c r="N163" s="122"/>
      <c r="O163" s="123">
        <f t="shared" si="99"/>
        <v>27019</v>
      </c>
      <c r="P163" s="188"/>
      <c r="Q163" s="106"/>
      <c r="R163" s="69"/>
      <c r="S163" s="70"/>
      <c r="T163" s="71"/>
      <c r="U163" s="69"/>
      <c r="V163" s="200"/>
      <c r="X163" s="60"/>
    </row>
    <row r="164" spans="1:24" s="59" customFormat="1" ht="27.75" customHeight="1" outlineLevel="1">
      <c r="A164" s="66" t="s">
        <v>573</v>
      </c>
      <c r="B164" s="204">
        <v>4100025575</v>
      </c>
      <c r="C164" s="194" t="s">
        <v>117</v>
      </c>
      <c r="D164" s="329">
        <v>54</v>
      </c>
      <c r="E164" s="19" t="s">
        <v>30</v>
      </c>
      <c r="F164" s="400">
        <f>118.97*D164</f>
        <v>6424</v>
      </c>
      <c r="G164" s="400">
        <f>92.63*D164</f>
        <v>5002</v>
      </c>
      <c r="H164" s="400">
        <f>3.65*D164</f>
        <v>197</v>
      </c>
      <c r="I164" s="400">
        <f>201.86*D164</f>
        <v>10900</v>
      </c>
      <c r="J164" s="400">
        <f>50.64*D164</f>
        <v>2735</v>
      </c>
      <c r="K164" s="92"/>
      <c r="L164" s="92"/>
      <c r="M164" s="92"/>
      <c r="N164" s="122"/>
      <c r="O164" s="123">
        <f t="shared" si="99"/>
        <v>25258</v>
      </c>
      <c r="P164" s="188"/>
      <c r="Q164" s="106"/>
      <c r="R164" s="69"/>
      <c r="S164" s="70"/>
      <c r="T164" s="71"/>
      <c r="U164" s="69"/>
      <c r="V164" s="200"/>
      <c r="X164" s="60"/>
    </row>
    <row r="165" spans="1:24" s="59" customFormat="1" ht="27.75" customHeight="1" outlineLevel="1">
      <c r="A165" s="66" t="s">
        <v>574</v>
      </c>
      <c r="B165" s="202"/>
      <c r="C165" s="308" t="s">
        <v>32</v>
      </c>
      <c r="D165" s="249">
        <v>51</v>
      </c>
      <c r="E165" s="23" t="s">
        <v>31</v>
      </c>
      <c r="F165" s="92"/>
      <c r="G165" s="92"/>
      <c r="H165" s="92">
        <f>301*D165</f>
        <v>15351</v>
      </c>
      <c r="I165" s="92">
        <f>27.47*D165</f>
        <v>1400.97</v>
      </c>
      <c r="J165" s="92">
        <f>39.22*D165</f>
        <v>2000.22</v>
      </c>
      <c r="K165" s="92">
        <f>168.42*D165</f>
        <v>8589.42</v>
      </c>
      <c r="L165" s="92"/>
      <c r="M165" s="92"/>
      <c r="N165" s="122"/>
      <c r="O165" s="123">
        <f t="shared" ref="O165:O179" si="132">SUM(F165:N165)</f>
        <v>27341.61</v>
      </c>
      <c r="P165" s="188"/>
      <c r="Q165" s="106"/>
      <c r="R165" s="69"/>
      <c r="S165" s="70"/>
      <c r="T165" s="71"/>
      <c r="U165" s="69"/>
      <c r="V165" s="200"/>
      <c r="X165" s="60"/>
    </row>
    <row r="166" spans="1:24" s="59" customFormat="1" ht="27.75" customHeight="1" outlineLevel="1">
      <c r="A166" s="66" t="s">
        <v>575</v>
      </c>
      <c r="B166" s="202"/>
      <c r="C166" s="308" t="s">
        <v>32</v>
      </c>
      <c r="D166" s="249">
        <v>55</v>
      </c>
      <c r="E166" s="23" t="s">
        <v>31</v>
      </c>
      <c r="F166" s="92">
        <f>118.97*D166</f>
        <v>6543.35</v>
      </c>
      <c r="G166" s="92">
        <f>92.63*D166</f>
        <v>5094.6499999999996</v>
      </c>
      <c r="H166" s="92">
        <f>3.65*D166</f>
        <v>200.75</v>
      </c>
      <c r="I166" s="92">
        <f>201.86*D166</f>
        <v>11102.3</v>
      </c>
      <c r="J166" s="92">
        <f>50.64*D166</f>
        <v>2785.2</v>
      </c>
      <c r="K166" s="17"/>
      <c r="L166" s="17"/>
      <c r="M166" s="92"/>
      <c r="N166" s="122"/>
      <c r="O166" s="123">
        <f t="shared" si="132"/>
        <v>25726.25</v>
      </c>
      <c r="P166" s="188"/>
      <c r="Q166" s="106"/>
      <c r="R166" s="69"/>
      <c r="S166" s="70"/>
      <c r="T166" s="71"/>
      <c r="U166" s="69"/>
      <c r="V166" s="200"/>
      <c r="X166" s="60"/>
    </row>
    <row r="167" spans="1:24" s="59" customFormat="1" ht="41.25" customHeight="1" outlineLevel="1">
      <c r="A167" s="66" t="s">
        <v>435</v>
      </c>
      <c r="B167" s="207"/>
      <c r="C167" s="229" t="s">
        <v>322</v>
      </c>
      <c r="D167" s="330"/>
      <c r="E167" s="101" t="s">
        <v>4</v>
      </c>
      <c r="F167" s="119"/>
      <c r="G167" s="120"/>
      <c r="H167" s="120"/>
      <c r="I167" s="120">
        <f>I168</f>
        <v>3.49</v>
      </c>
      <c r="J167" s="120">
        <f>J168</f>
        <v>4.74</v>
      </c>
      <c r="K167" s="120">
        <f>K168</f>
        <v>8.06</v>
      </c>
      <c r="L167" s="120"/>
      <c r="M167" s="102"/>
      <c r="N167" s="121"/>
      <c r="O167" s="190">
        <f t="shared" si="132"/>
        <v>16.29</v>
      </c>
      <c r="P167" s="182">
        <f>(SUMPRODUCT(O168:O170,P168:P170)/O167)</f>
        <v>0</v>
      </c>
      <c r="Q167" s="183"/>
      <c r="R167" s="184">
        <f t="shared" ref="R167" si="133">P167+Q167</f>
        <v>0</v>
      </c>
      <c r="S167" s="182">
        <f t="shared" ref="S167" si="134">O167*P167</f>
        <v>0</v>
      </c>
      <c r="T167" s="185">
        <f t="shared" ref="T167" si="135">O167*Q167</f>
        <v>0</v>
      </c>
      <c r="U167" s="184">
        <f t="shared" ref="U167" si="136">S167+T167</f>
        <v>0</v>
      </c>
      <c r="V167" s="200" t="s">
        <v>131</v>
      </c>
      <c r="X167" s="60"/>
    </row>
    <row r="168" spans="1:24" s="59" customFormat="1" ht="25.5" customHeight="1" outlineLevel="1">
      <c r="A168" s="66" t="s">
        <v>497</v>
      </c>
      <c r="B168" s="207"/>
      <c r="C168" s="309" t="s">
        <v>18</v>
      </c>
      <c r="D168" s="265"/>
      <c r="E168" s="11" t="s">
        <v>4</v>
      </c>
      <c r="F168" s="16"/>
      <c r="G168" s="17"/>
      <c r="H168" s="17"/>
      <c r="I168" s="17">
        <v>3.49</v>
      </c>
      <c r="J168" s="17">
        <v>4.74</v>
      </c>
      <c r="K168" s="17">
        <v>8.06</v>
      </c>
      <c r="L168" s="17"/>
      <c r="M168" s="92"/>
      <c r="N168" s="122"/>
      <c r="O168" s="99">
        <f t="shared" si="132"/>
        <v>16.29</v>
      </c>
      <c r="P168" s="188"/>
      <c r="Q168" s="189"/>
      <c r="R168" s="184"/>
      <c r="S168" s="182"/>
      <c r="T168" s="185"/>
      <c r="U168" s="184"/>
      <c r="V168" s="200"/>
      <c r="X168" s="60"/>
    </row>
    <row r="169" spans="1:24" s="59" customFormat="1" ht="25.5" customHeight="1" outlineLevel="1">
      <c r="A169" s="66" t="s">
        <v>498</v>
      </c>
      <c r="B169" s="207"/>
      <c r="C169" s="309" t="s">
        <v>58</v>
      </c>
      <c r="D169" s="265">
        <v>50.4</v>
      </c>
      <c r="E169" s="11" t="s">
        <v>30</v>
      </c>
      <c r="F169" s="16"/>
      <c r="G169" s="17"/>
      <c r="H169" s="17"/>
      <c r="I169" s="401">
        <f>3.49*D169</f>
        <v>176</v>
      </c>
      <c r="J169" s="401">
        <f>4.74*D169</f>
        <v>239</v>
      </c>
      <c r="K169" s="401">
        <f>8.09*D169</f>
        <v>408</v>
      </c>
      <c r="L169" s="17"/>
      <c r="M169" s="92"/>
      <c r="N169" s="122"/>
      <c r="O169" s="99">
        <f t="shared" si="132"/>
        <v>823</v>
      </c>
      <c r="P169" s="188"/>
      <c r="Q169" s="189"/>
      <c r="R169" s="184"/>
      <c r="S169" s="182"/>
      <c r="T169" s="185"/>
      <c r="U169" s="184"/>
      <c r="V169" s="200"/>
      <c r="X169" s="60"/>
    </row>
    <row r="170" spans="1:24" s="59" customFormat="1" ht="25.5" customHeight="1" outlineLevel="1">
      <c r="A170" s="66" t="s">
        <v>499</v>
      </c>
      <c r="B170" s="207"/>
      <c r="C170" s="309" t="s">
        <v>59</v>
      </c>
      <c r="D170" s="263">
        <v>2.3E-2</v>
      </c>
      <c r="E170" s="11" t="s">
        <v>34</v>
      </c>
      <c r="F170" s="16"/>
      <c r="G170" s="17"/>
      <c r="H170" s="17"/>
      <c r="I170" s="17">
        <f>3.49*D170</f>
        <v>0.08</v>
      </c>
      <c r="J170" s="17">
        <f>4.74*D170</f>
        <v>0.11</v>
      </c>
      <c r="K170" s="17">
        <f>8.09*D170</f>
        <v>0.19</v>
      </c>
      <c r="L170" s="17"/>
      <c r="M170" s="92"/>
      <c r="N170" s="122"/>
      <c r="O170" s="99">
        <f t="shared" si="132"/>
        <v>0.38</v>
      </c>
      <c r="P170" s="188"/>
      <c r="Q170" s="106"/>
      <c r="R170" s="69"/>
      <c r="S170" s="70"/>
      <c r="T170" s="71"/>
      <c r="U170" s="69"/>
      <c r="V170" s="200"/>
      <c r="X170" s="60"/>
    </row>
    <row r="171" spans="1:24" s="59" customFormat="1" ht="32.25" customHeight="1" outlineLevel="1">
      <c r="A171" s="66" t="s">
        <v>500</v>
      </c>
      <c r="B171" s="207"/>
      <c r="C171" s="317" t="s">
        <v>148</v>
      </c>
      <c r="D171" s="268"/>
      <c r="E171" s="133" t="s">
        <v>4</v>
      </c>
      <c r="F171" s="119"/>
      <c r="G171" s="120"/>
      <c r="H171" s="120"/>
      <c r="I171" s="120">
        <v>45.5</v>
      </c>
      <c r="J171" s="120"/>
      <c r="K171" s="120"/>
      <c r="L171" s="120"/>
      <c r="M171" s="102"/>
      <c r="N171" s="121"/>
      <c r="O171" s="190">
        <f t="shared" si="132"/>
        <v>45.5</v>
      </c>
      <c r="P171" s="182">
        <f>(SUMPRODUCT(O172:O175,P172:P175)/O171)</f>
        <v>0</v>
      </c>
      <c r="Q171" s="183"/>
      <c r="R171" s="184">
        <f t="shared" ref="R171" si="137">P171+Q171</f>
        <v>0</v>
      </c>
      <c r="S171" s="182">
        <f t="shared" ref="S171" si="138">O171*P171</f>
        <v>0</v>
      </c>
      <c r="T171" s="185">
        <f t="shared" ref="T171" si="139">O171*Q171</f>
        <v>0</v>
      </c>
      <c r="U171" s="184">
        <f t="shared" ref="U171" si="140">S171+T171</f>
        <v>0</v>
      </c>
      <c r="V171" s="200"/>
      <c r="X171" s="60"/>
    </row>
    <row r="172" spans="1:24" s="59" customFormat="1" ht="27" customHeight="1" outlineLevel="1">
      <c r="A172" s="66" t="s">
        <v>501</v>
      </c>
      <c r="B172" s="207"/>
      <c r="C172" s="309" t="s">
        <v>18</v>
      </c>
      <c r="D172" s="265"/>
      <c r="E172" s="11" t="s">
        <v>4</v>
      </c>
      <c r="F172" s="16"/>
      <c r="G172" s="17"/>
      <c r="H172" s="17"/>
      <c r="I172" s="17">
        <v>45.5</v>
      </c>
      <c r="J172" s="17"/>
      <c r="K172" s="17"/>
      <c r="L172" s="17"/>
      <c r="M172" s="92"/>
      <c r="N172" s="122"/>
      <c r="O172" s="99">
        <f t="shared" si="132"/>
        <v>45.5</v>
      </c>
      <c r="P172" s="188"/>
      <c r="Q172" s="189"/>
      <c r="R172" s="184"/>
      <c r="S172" s="182"/>
      <c r="T172" s="185"/>
      <c r="U172" s="184"/>
      <c r="V172" s="200"/>
      <c r="X172" s="60"/>
    </row>
    <row r="173" spans="1:24" s="59" customFormat="1" ht="27" customHeight="1" outlineLevel="1">
      <c r="A173" s="66" t="s">
        <v>502</v>
      </c>
      <c r="B173" s="207"/>
      <c r="C173" s="309" t="s">
        <v>17</v>
      </c>
      <c r="D173" s="263"/>
      <c r="E173" s="11" t="s">
        <v>4</v>
      </c>
      <c r="F173" s="16"/>
      <c r="G173" s="17"/>
      <c r="H173" s="17"/>
      <c r="I173" s="17">
        <v>45.5</v>
      </c>
      <c r="J173" s="17"/>
      <c r="K173" s="17"/>
      <c r="L173" s="17"/>
      <c r="M173" s="92"/>
      <c r="N173" s="122"/>
      <c r="O173" s="99">
        <f t="shared" si="132"/>
        <v>45.5</v>
      </c>
      <c r="P173" s="188"/>
      <c r="Q173" s="189"/>
      <c r="R173" s="184"/>
      <c r="S173" s="182"/>
      <c r="T173" s="185"/>
      <c r="U173" s="184"/>
      <c r="V173" s="200"/>
      <c r="X173" s="60"/>
    </row>
    <row r="174" spans="1:24" s="59" customFormat="1" ht="27" customHeight="1" outlineLevel="1">
      <c r="A174" s="66" t="s">
        <v>503</v>
      </c>
      <c r="B174" s="207"/>
      <c r="C174" s="308" t="s">
        <v>130</v>
      </c>
      <c r="D174" s="263"/>
      <c r="E174" s="11" t="s">
        <v>4</v>
      </c>
      <c r="F174" s="16"/>
      <c r="G174" s="17"/>
      <c r="H174" s="17"/>
      <c r="I174" s="17">
        <v>45.5</v>
      </c>
      <c r="J174" s="17"/>
      <c r="K174" s="17"/>
      <c r="L174" s="17"/>
      <c r="M174" s="92"/>
      <c r="N174" s="122"/>
      <c r="O174" s="99">
        <f t="shared" si="132"/>
        <v>45.5</v>
      </c>
      <c r="P174" s="188"/>
      <c r="Q174" s="106"/>
      <c r="R174" s="69"/>
      <c r="S174" s="70"/>
      <c r="T174" s="71"/>
      <c r="U174" s="69"/>
      <c r="V174" s="200"/>
      <c r="X174" s="60"/>
    </row>
    <row r="175" spans="1:24" s="59" customFormat="1" ht="51" customHeight="1" outlineLevel="1">
      <c r="A175" s="66" t="s">
        <v>576</v>
      </c>
      <c r="B175" s="207"/>
      <c r="C175" s="308" t="s">
        <v>129</v>
      </c>
      <c r="D175" s="263"/>
      <c r="E175" s="11" t="s">
        <v>4</v>
      </c>
      <c r="F175" s="16"/>
      <c r="G175" s="17"/>
      <c r="H175" s="17"/>
      <c r="I175" s="17">
        <f>2.05*4</f>
        <v>8.1999999999999993</v>
      </c>
      <c r="J175" s="17"/>
      <c r="K175" s="17"/>
      <c r="L175" s="17"/>
      <c r="M175" s="92"/>
      <c r="N175" s="122"/>
      <c r="O175" s="99">
        <f t="shared" si="132"/>
        <v>8.1999999999999993</v>
      </c>
      <c r="P175" s="188"/>
      <c r="Q175" s="106"/>
      <c r="R175" s="7"/>
      <c r="S175" s="8"/>
      <c r="T175" s="9"/>
      <c r="U175" s="7"/>
      <c r="V175" s="431" t="s">
        <v>528</v>
      </c>
      <c r="X175" s="60"/>
    </row>
    <row r="176" spans="1:24" s="59" customFormat="1" ht="33" customHeight="1" outlineLevel="1">
      <c r="A176" s="66" t="s">
        <v>482</v>
      </c>
      <c r="B176" s="207"/>
      <c r="C176" s="229" t="s">
        <v>157</v>
      </c>
      <c r="D176" s="330"/>
      <c r="E176" s="133" t="s">
        <v>4</v>
      </c>
      <c r="F176" s="119"/>
      <c r="G176" s="120">
        <v>18.53</v>
      </c>
      <c r="H176" s="120"/>
      <c r="I176" s="120"/>
      <c r="J176" s="120"/>
      <c r="K176" s="120"/>
      <c r="L176" s="120"/>
      <c r="M176" s="102"/>
      <c r="N176" s="121"/>
      <c r="O176" s="190">
        <f>SUM(F176:N176)</f>
        <v>18.53</v>
      </c>
      <c r="P176" s="182">
        <f>(SUMPRODUCT(O177:O179,P177:P179)/O176)</f>
        <v>0</v>
      </c>
      <c r="Q176" s="183"/>
      <c r="R176" s="184">
        <f t="shared" ref="R176" si="141">P176+Q176</f>
        <v>0</v>
      </c>
      <c r="S176" s="182">
        <f t="shared" ref="S176" si="142">O176*P176</f>
        <v>0</v>
      </c>
      <c r="T176" s="185">
        <f t="shared" ref="T176" si="143">O176*Q176</f>
        <v>0</v>
      </c>
      <c r="U176" s="184">
        <f t="shared" ref="U176" si="144">S176+T176</f>
        <v>0</v>
      </c>
      <c r="V176" s="200"/>
      <c r="X176" s="60"/>
    </row>
    <row r="177" spans="1:24" s="59" customFormat="1" ht="29.25" customHeight="1" outlineLevel="1">
      <c r="A177" s="66" t="s">
        <v>577</v>
      </c>
      <c r="B177" s="207"/>
      <c r="C177" s="308" t="s">
        <v>124</v>
      </c>
      <c r="D177" s="332"/>
      <c r="E177" s="11" t="s">
        <v>121</v>
      </c>
      <c r="F177" s="16"/>
      <c r="G177" s="17">
        <v>12.85</v>
      </c>
      <c r="H177" s="17"/>
      <c r="I177" s="17"/>
      <c r="J177" s="17"/>
      <c r="K177" s="17"/>
      <c r="L177" s="17"/>
      <c r="M177" s="92"/>
      <c r="N177" s="122"/>
      <c r="O177" s="99">
        <f t="shared" si="132"/>
        <v>12.85</v>
      </c>
      <c r="P177" s="188"/>
      <c r="Q177" s="189"/>
      <c r="R177" s="184"/>
      <c r="S177" s="182"/>
      <c r="T177" s="185"/>
      <c r="U177" s="184"/>
      <c r="V177" s="200"/>
      <c r="X177" s="60"/>
    </row>
    <row r="178" spans="1:24" s="59" customFormat="1" ht="39" customHeight="1" outlineLevel="1">
      <c r="A178" s="66" t="s">
        <v>578</v>
      </c>
      <c r="B178" s="207"/>
      <c r="C178" s="236" t="s">
        <v>127</v>
      </c>
      <c r="D178" s="332"/>
      <c r="E178" s="11" t="s">
        <v>4</v>
      </c>
      <c r="F178" s="16"/>
      <c r="G178" s="17">
        <v>7.4</v>
      </c>
      <c r="H178" s="17"/>
      <c r="I178" s="17"/>
      <c r="J178" s="17"/>
      <c r="K178" s="17"/>
      <c r="L178" s="17"/>
      <c r="M178" s="92"/>
      <c r="N178" s="122"/>
      <c r="O178" s="99">
        <f t="shared" si="132"/>
        <v>7.4</v>
      </c>
      <c r="P178" s="188"/>
      <c r="Q178" s="189"/>
      <c r="R178" s="184"/>
      <c r="S178" s="182"/>
      <c r="T178" s="185"/>
      <c r="U178" s="184"/>
      <c r="V178" s="200"/>
      <c r="X178" s="60"/>
    </row>
    <row r="179" spans="1:24" s="59" customFormat="1" ht="29.25" customHeight="1" outlineLevel="1">
      <c r="A179" s="66" t="s">
        <v>579</v>
      </c>
      <c r="B179" s="207"/>
      <c r="C179" s="236" t="s">
        <v>125</v>
      </c>
      <c r="D179" s="332"/>
      <c r="E179" s="11" t="s">
        <v>4</v>
      </c>
      <c r="F179" s="16"/>
      <c r="G179" s="17">
        <v>18.53</v>
      </c>
      <c r="H179" s="17"/>
      <c r="I179" s="17"/>
      <c r="J179" s="17"/>
      <c r="K179" s="17"/>
      <c r="L179" s="17"/>
      <c r="M179" s="92"/>
      <c r="N179" s="122"/>
      <c r="O179" s="99">
        <f t="shared" si="132"/>
        <v>18.53</v>
      </c>
      <c r="P179" s="188"/>
      <c r="Q179" s="106"/>
      <c r="R179" s="69"/>
      <c r="S179" s="70"/>
      <c r="T179" s="71"/>
      <c r="U179" s="69"/>
      <c r="V179" s="200"/>
      <c r="X179" s="60"/>
    </row>
    <row r="180" spans="1:24" s="59" customFormat="1" ht="37.5" customHeight="1" outlineLevel="1">
      <c r="A180" s="66" t="s">
        <v>504</v>
      </c>
      <c r="B180" s="208"/>
      <c r="C180" s="229" t="s">
        <v>119</v>
      </c>
      <c r="D180" s="321"/>
      <c r="E180" s="2" t="s">
        <v>4</v>
      </c>
      <c r="F180" s="33">
        <v>102.84</v>
      </c>
      <c r="G180" s="9">
        <v>32.520000000000003</v>
      </c>
      <c r="H180" s="9">
        <v>69.02</v>
      </c>
      <c r="I180" s="9">
        <v>69.48</v>
      </c>
      <c r="J180" s="9">
        <v>51.76</v>
      </c>
      <c r="K180" s="9">
        <v>70.849999999999994</v>
      </c>
      <c r="L180" s="9"/>
      <c r="M180" s="18"/>
      <c r="N180" s="114"/>
      <c r="O180" s="99">
        <f>SUM(F180:N180)</f>
        <v>396.47</v>
      </c>
      <c r="P180" s="188"/>
      <c r="Q180" s="198"/>
      <c r="R180" s="184">
        <f>P180+Q180</f>
        <v>0</v>
      </c>
      <c r="S180" s="182">
        <f>O180*P180</f>
        <v>0</v>
      </c>
      <c r="T180" s="185">
        <f>O180*Q180</f>
        <v>0</v>
      </c>
      <c r="U180" s="184">
        <f>S180+T180</f>
        <v>0</v>
      </c>
      <c r="V180" s="200"/>
      <c r="X180" s="60"/>
    </row>
    <row r="181" spans="1:24" s="59" customFormat="1" ht="37.5" customHeight="1" outlineLevel="1">
      <c r="A181" s="66" t="s">
        <v>580</v>
      </c>
      <c r="B181" s="209"/>
      <c r="C181" s="229" t="s">
        <v>120</v>
      </c>
      <c r="D181" s="321"/>
      <c r="E181" s="12" t="s">
        <v>121</v>
      </c>
      <c r="F181" s="33">
        <v>252.29</v>
      </c>
      <c r="G181" s="9">
        <v>96.44</v>
      </c>
      <c r="H181" s="9">
        <v>35.04</v>
      </c>
      <c r="I181" s="9">
        <v>124.28</v>
      </c>
      <c r="J181" s="9">
        <v>29.9</v>
      </c>
      <c r="K181" s="9">
        <v>63.5</v>
      </c>
      <c r="L181" s="9"/>
      <c r="M181" s="18"/>
      <c r="N181" s="114"/>
      <c r="O181" s="99">
        <f>SUM(F181:N181)</f>
        <v>601.45000000000005</v>
      </c>
      <c r="P181" s="183"/>
      <c r="Q181" s="183"/>
      <c r="R181" s="184">
        <f t="shared" ref="R181" si="145">P181+Q181</f>
        <v>0</v>
      </c>
      <c r="S181" s="182">
        <f>O181*P181</f>
        <v>0</v>
      </c>
      <c r="T181" s="185">
        <f>O181*Q181</f>
        <v>0</v>
      </c>
      <c r="U181" s="184">
        <f>S181+T181</f>
        <v>0</v>
      </c>
      <c r="V181" s="200" t="s">
        <v>149</v>
      </c>
      <c r="X181" s="60"/>
    </row>
    <row r="182" spans="1:24" s="59" customFormat="1" ht="45" customHeight="1">
      <c r="A182" s="108" t="s">
        <v>36</v>
      </c>
      <c r="B182" s="109"/>
      <c r="C182" s="318" t="s">
        <v>368</v>
      </c>
      <c r="D182" s="322"/>
      <c r="E182" s="111"/>
      <c r="F182" s="112"/>
      <c r="G182" s="246"/>
      <c r="H182" s="83"/>
      <c r="I182" s="83"/>
      <c r="J182" s="83"/>
      <c r="K182" s="83"/>
      <c r="L182" s="83"/>
      <c r="M182" s="83"/>
      <c r="N182" s="146"/>
      <c r="O182" s="98"/>
      <c r="P182" s="95"/>
      <c r="Q182" s="84"/>
      <c r="R182" s="85"/>
      <c r="S182" s="210">
        <f>SUM(S183:S192)</f>
        <v>0</v>
      </c>
      <c r="T182" s="211">
        <f>SUM(T183:T192)</f>
        <v>0</v>
      </c>
      <c r="U182" s="212">
        <f>T182+S182</f>
        <v>0</v>
      </c>
      <c r="V182" s="289"/>
      <c r="X182" s="60"/>
    </row>
    <row r="183" spans="1:24" s="59" customFormat="1" ht="37.5" customHeight="1" outlineLevel="1">
      <c r="A183" s="66" t="s">
        <v>180</v>
      </c>
      <c r="B183" s="202"/>
      <c r="C183" s="90" t="s">
        <v>82</v>
      </c>
      <c r="D183" s="323"/>
      <c r="E183" s="67" t="s">
        <v>4</v>
      </c>
      <c r="F183" s="18">
        <v>627.91999999999996</v>
      </c>
      <c r="G183" s="18">
        <v>479.5</v>
      </c>
      <c r="H183" s="18">
        <v>471.65</v>
      </c>
      <c r="I183" s="18">
        <v>674.87</v>
      </c>
      <c r="J183" s="18">
        <v>507.9</v>
      </c>
      <c r="K183" s="18">
        <v>697.83</v>
      </c>
      <c r="L183" s="18"/>
      <c r="M183" s="18"/>
      <c r="N183" s="114"/>
      <c r="O183" s="99">
        <f t="shared" ref="O183:O191" si="146">SUM(F183:N183)</f>
        <v>3459.67</v>
      </c>
      <c r="P183" s="97"/>
      <c r="Q183" s="68"/>
      <c r="R183" s="7">
        <f t="shared" ref="R183:R190" si="147">P183+Q183</f>
        <v>0</v>
      </c>
      <c r="S183" s="8">
        <f t="shared" ref="S183:S190" si="148">O183*P183</f>
        <v>0</v>
      </c>
      <c r="T183" s="9">
        <f t="shared" ref="T183:T190" si="149">O183*Q183</f>
        <v>0</v>
      </c>
      <c r="U183" s="7">
        <f t="shared" ref="U183:U190" si="150">S183+T183</f>
        <v>0</v>
      </c>
      <c r="V183" s="200"/>
      <c r="X183" s="60"/>
    </row>
    <row r="184" spans="1:24" s="59" customFormat="1" ht="37.5" customHeight="1" outlineLevel="1">
      <c r="A184" s="66" t="s">
        <v>160</v>
      </c>
      <c r="B184" s="202"/>
      <c r="C184" s="90" t="s">
        <v>83</v>
      </c>
      <c r="D184" s="323"/>
      <c r="E184" s="67" t="s">
        <v>4</v>
      </c>
      <c r="F184" s="18">
        <v>5.68</v>
      </c>
      <c r="G184" s="18">
        <v>5.57</v>
      </c>
      <c r="H184" s="18"/>
      <c r="I184" s="18">
        <f>3.49+8.2</f>
        <v>11.69</v>
      </c>
      <c r="J184" s="18">
        <v>4.74</v>
      </c>
      <c r="K184" s="18">
        <v>16.809999999999999</v>
      </c>
      <c r="L184" s="18"/>
      <c r="M184" s="18"/>
      <c r="N184" s="114"/>
      <c r="O184" s="99">
        <f t="shared" si="146"/>
        <v>44.49</v>
      </c>
      <c r="P184" s="97"/>
      <c r="Q184" s="68"/>
      <c r="R184" s="7">
        <f t="shared" si="147"/>
        <v>0</v>
      </c>
      <c r="S184" s="8">
        <f t="shared" si="148"/>
        <v>0</v>
      </c>
      <c r="T184" s="9">
        <f t="shared" si="149"/>
        <v>0</v>
      </c>
      <c r="U184" s="7">
        <f t="shared" si="150"/>
        <v>0</v>
      </c>
      <c r="V184" s="200"/>
      <c r="X184" s="60"/>
    </row>
    <row r="185" spans="1:24" s="59" customFormat="1" ht="37.5" customHeight="1" outlineLevel="1">
      <c r="A185" s="66" t="s">
        <v>181</v>
      </c>
      <c r="B185" s="202"/>
      <c r="C185" s="90" t="s">
        <v>84</v>
      </c>
      <c r="D185" s="323"/>
      <c r="E185" s="67" t="s">
        <v>4</v>
      </c>
      <c r="F185" s="18">
        <v>22.02</v>
      </c>
      <c r="G185" s="18">
        <v>23.01</v>
      </c>
      <c r="H185" s="18">
        <v>22.44</v>
      </c>
      <c r="I185" s="18">
        <v>8.6999999999999993</v>
      </c>
      <c r="J185" s="18">
        <v>5.75</v>
      </c>
      <c r="K185" s="18">
        <v>5.4</v>
      </c>
      <c r="L185" s="18"/>
      <c r="M185" s="18"/>
      <c r="N185" s="114"/>
      <c r="O185" s="99">
        <f t="shared" si="146"/>
        <v>87.32</v>
      </c>
      <c r="P185" s="97"/>
      <c r="Q185" s="68"/>
      <c r="R185" s="7">
        <f t="shared" si="147"/>
        <v>0</v>
      </c>
      <c r="S185" s="8">
        <f t="shared" si="148"/>
        <v>0</v>
      </c>
      <c r="T185" s="9">
        <f t="shared" si="149"/>
        <v>0</v>
      </c>
      <c r="U185" s="7">
        <f t="shared" si="150"/>
        <v>0</v>
      </c>
      <c r="V185" s="200"/>
      <c r="X185" s="60"/>
    </row>
    <row r="186" spans="1:24" s="59" customFormat="1" ht="37.5" customHeight="1" outlineLevel="1">
      <c r="A186" s="66" t="s">
        <v>166</v>
      </c>
      <c r="B186" s="202"/>
      <c r="C186" s="90" t="s">
        <v>15</v>
      </c>
      <c r="D186" s="323"/>
      <c r="E186" s="67" t="s">
        <v>4</v>
      </c>
      <c r="F186" s="18">
        <f>985.94+16.16</f>
        <v>1002.1</v>
      </c>
      <c r="G186" s="18">
        <f>496.82+6.88</f>
        <v>503.7</v>
      </c>
      <c r="H186" s="18">
        <f>1702.03+32.48</f>
        <v>1734.51</v>
      </c>
      <c r="I186" s="18">
        <f>1089.18+40.65</f>
        <v>1129.83</v>
      </c>
      <c r="J186" s="18">
        <f>991.19+22.68</f>
        <v>1013.87</v>
      </c>
      <c r="K186" s="18">
        <f>881.93+21.18</f>
        <v>903.11</v>
      </c>
      <c r="L186" s="18"/>
      <c r="M186" s="18"/>
      <c r="N186" s="114"/>
      <c r="O186" s="99">
        <f t="shared" si="146"/>
        <v>6287.12</v>
      </c>
      <c r="P186" s="97"/>
      <c r="Q186" s="68"/>
      <c r="R186" s="7">
        <f t="shared" si="147"/>
        <v>0</v>
      </c>
      <c r="S186" s="8">
        <f t="shared" si="148"/>
        <v>0</v>
      </c>
      <c r="T186" s="9">
        <f t="shared" si="149"/>
        <v>0</v>
      </c>
      <c r="U186" s="7">
        <f t="shared" si="150"/>
        <v>0</v>
      </c>
      <c r="V186" s="200" t="s">
        <v>122</v>
      </c>
      <c r="X186" s="60"/>
    </row>
    <row r="187" spans="1:24" s="59" customFormat="1" ht="37.5" customHeight="1" outlineLevel="1">
      <c r="A187" s="66" t="s">
        <v>182</v>
      </c>
      <c r="B187" s="202"/>
      <c r="C187" s="90" t="s">
        <v>14</v>
      </c>
      <c r="D187" s="323"/>
      <c r="E187" s="67" t="s">
        <v>4</v>
      </c>
      <c r="F187" s="18">
        <v>108.25</v>
      </c>
      <c r="G187" s="18">
        <v>94.29</v>
      </c>
      <c r="H187" s="18">
        <v>171.14</v>
      </c>
      <c r="I187" s="18">
        <v>126.77</v>
      </c>
      <c r="J187" s="18">
        <v>114.15</v>
      </c>
      <c r="K187" s="18">
        <v>122.28</v>
      </c>
      <c r="L187" s="18"/>
      <c r="M187" s="18"/>
      <c r="N187" s="114"/>
      <c r="O187" s="99">
        <f t="shared" si="146"/>
        <v>736.88</v>
      </c>
      <c r="P187" s="97"/>
      <c r="Q187" s="68"/>
      <c r="R187" s="7">
        <f t="shared" si="147"/>
        <v>0</v>
      </c>
      <c r="S187" s="8">
        <f t="shared" si="148"/>
        <v>0</v>
      </c>
      <c r="T187" s="9">
        <f t="shared" si="149"/>
        <v>0</v>
      </c>
      <c r="U187" s="7">
        <f t="shared" si="150"/>
        <v>0</v>
      </c>
      <c r="V187" s="200"/>
      <c r="X187" s="60"/>
    </row>
    <row r="188" spans="1:24" s="59" customFormat="1" ht="37.5" customHeight="1" outlineLevel="1">
      <c r="A188" s="66" t="s">
        <v>183</v>
      </c>
      <c r="B188" s="202"/>
      <c r="C188" s="90" t="s">
        <v>118</v>
      </c>
      <c r="D188" s="323"/>
      <c r="E188" s="67" t="s">
        <v>4</v>
      </c>
      <c r="F188" s="18">
        <v>160.61000000000001</v>
      </c>
      <c r="G188" s="18">
        <v>74.02</v>
      </c>
      <c r="H188" s="18">
        <v>344.3</v>
      </c>
      <c r="I188" s="18">
        <v>248.9</v>
      </c>
      <c r="J188" s="18">
        <v>133.53</v>
      </c>
      <c r="K188" s="18">
        <v>398.8</v>
      </c>
      <c r="L188" s="18"/>
      <c r="M188" s="18"/>
      <c r="N188" s="114"/>
      <c r="O188" s="99">
        <f t="shared" si="146"/>
        <v>1360.16</v>
      </c>
      <c r="P188" s="97"/>
      <c r="Q188" s="68"/>
      <c r="R188" s="7">
        <f t="shared" si="147"/>
        <v>0</v>
      </c>
      <c r="S188" s="8">
        <f t="shared" si="148"/>
        <v>0</v>
      </c>
      <c r="T188" s="9">
        <f t="shared" si="149"/>
        <v>0</v>
      </c>
      <c r="U188" s="7">
        <f t="shared" si="150"/>
        <v>0</v>
      </c>
      <c r="V188" s="200"/>
      <c r="X188" s="60"/>
    </row>
    <row r="189" spans="1:24" s="59" customFormat="1" ht="37.5" customHeight="1" outlineLevel="1">
      <c r="A189" s="66" t="s">
        <v>184</v>
      </c>
      <c r="B189" s="202"/>
      <c r="C189" s="90" t="s">
        <v>23</v>
      </c>
      <c r="D189" s="323"/>
      <c r="E189" s="67" t="s">
        <v>4</v>
      </c>
      <c r="F189" s="18">
        <v>464.99</v>
      </c>
      <c r="G189" s="18">
        <v>295.48</v>
      </c>
      <c r="H189" s="18">
        <v>630.24</v>
      </c>
      <c r="I189" s="18">
        <v>377.77</v>
      </c>
      <c r="J189" s="18">
        <v>307.11</v>
      </c>
      <c r="K189" s="18">
        <v>392.55</v>
      </c>
      <c r="L189" s="18"/>
      <c r="M189" s="18"/>
      <c r="N189" s="114"/>
      <c r="O189" s="99">
        <f t="shared" si="146"/>
        <v>2468.14</v>
      </c>
      <c r="P189" s="97"/>
      <c r="Q189" s="68"/>
      <c r="R189" s="7">
        <f t="shared" si="147"/>
        <v>0</v>
      </c>
      <c r="S189" s="8">
        <f t="shared" si="148"/>
        <v>0</v>
      </c>
      <c r="T189" s="9">
        <f t="shared" si="149"/>
        <v>0</v>
      </c>
      <c r="U189" s="7">
        <f t="shared" si="150"/>
        <v>0</v>
      </c>
      <c r="V189" s="200"/>
      <c r="X189" s="60"/>
    </row>
    <row r="190" spans="1:24" s="59" customFormat="1" ht="37.5" customHeight="1" outlineLevel="1">
      <c r="A190" s="66" t="s">
        <v>185</v>
      </c>
      <c r="B190" s="202"/>
      <c r="C190" s="90" t="s">
        <v>85</v>
      </c>
      <c r="D190" s="323"/>
      <c r="E190" s="67" t="s">
        <v>86</v>
      </c>
      <c r="F190" s="18">
        <v>44.2</v>
      </c>
      <c r="G190" s="18"/>
      <c r="H190" s="18">
        <v>18.25</v>
      </c>
      <c r="I190" s="18">
        <v>21.83</v>
      </c>
      <c r="J190" s="18">
        <v>10.42</v>
      </c>
      <c r="K190" s="18">
        <v>15.96</v>
      </c>
      <c r="L190" s="18"/>
      <c r="M190" s="18"/>
      <c r="N190" s="114"/>
      <c r="O190" s="99">
        <f t="shared" si="146"/>
        <v>110.66</v>
      </c>
      <c r="P190" s="97"/>
      <c r="Q190" s="68"/>
      <c r="R190" s="7">
        <f t="shared" si="147"/>
        <v>0</v>
      </c>
      <c r="S190" s="8">
        <f t="shared" si="148"/>
        <v>0</v>
      </c>
      <c r="T190" s="9">
        <f t="shared" si="149"/>
        <v>0</v>
      </c>
      <c r="U190" s="7">
        <f t="shared" si="150"/>
        <v>0</v>
      </c>
      <c r="V190" s="200"/>
      <c r="X190" s="60"/>
    </row>
    <row r="191" spans="1:24" s="59" customFormat="1" ht="37.5" customHeight="1" outlineLevel="1">
      <c r="A191" s="66" t="s">
        <v>186</v>
      </c>
      <c r="B191" s="202"/>
      <c r="C191" s="90" t="s">
        <v>126</v>
      </c>
      <c r="D191" s="323"/>
      <c r="E191" s="67" t="s">
        <v>86</v>
      </c>
      <c r="F191" s="18"/>
      <c r="G191" s="18">
        <v>18.53</v>
      </c>
      <c r="H191" s="18"/>
      <c r="I191" s="18"/>
      <c r="J191" s="18"/>
      <c r="K191" s="18"/>
      <c r="L191" s="18"/>
      <c r="M191" s="18"/>
      <c r="N191" s="114"/>
      <c r="O191" s="99">
        <f t="shared" si="146"/>
        <v>18.53</v>
      </c>
      <c r="P191" s="97"/>
      <c r="Q191" s="68"/>
      <c r="R191" s="7">
        <f t="shared" ref="R191" si="151">P191+Q191</f>
        <v>0</v>
      </c>
      <c r="S191" s="8">
        <f t="shared" ref="S191" si="152">O191*P191</f>
        <v>0</v>
      </c>
      <c r="T191" s="9">
        <f t="shared" ref="T191" si="153">O191*Q191</f>
        <v>0</v>
      </c>
      <c r="U191" s="7">
        <f t="shared" ref="U191" si="154">S191+T191</f>
        <v>0</v>
      </c>
      <c r="V191" s="200"/>
      <c r="X191" s="60"/>
    </row>
    <row r="192" spans="1:24" s="59" customFormat="1" ht="37.5" customHeight="1" outlineLevel="1">
      <c r="A192" s="66" t="s">
        <v>366</v>
      </c>
      <c r="B192" s="205"/>
      <c r="C192" s="90" t="s">
        <v>365</v>
      </c>
      <c r="D192" s="323"/>
      <c r="E192" s="67" t="s">
        <v>4</v>
      </c>
      <c r="F192" s="238">
        <v>8.5</v>
      </c>
      <c r="G192" s="238"/>
      <c r="H192" s="238">
        <v>6.6</v>
      </c>
      <c r="I192" s="238">
        <v>4.62</v>
      </c>
      <c r="J192" s="238">
        <v>2.7</v>
      </c>
      <c r="K192" s="238">
        <v>2.5</v>
      </c>
      <c r="L192" s="238"/>
      <c r="M192" s="238"/>
      <c r="N192" s="237"/>
      <c r="O192" s="99">
        <f t="shared" ref="O192" si="155">SUM(F192:N192)</f>
        <v>24.92</v>
      </c>
      <c r="P192" s="97"/>
      <c r="Q192" s="68"/>
      <c r="R192" s="7">
        <f t="shared" ref="R192" si="156">P192+Q192</f>
        <v>0</v>
      </c>
      <c r="S192" s="8">
        <f t="shared" ref="S192" si="157">O192*P192</f>
        <v>0</v>
      </c>
      <c r="T192" s="9">
        <f t="shared" ref="T192" si="158">O192*Q192</f>
        <v>0</v>
      </c>
      <c r="U192" s="7">
        <f t="shared" ref="U192" si="159">S192+T192</f>
        <v>0</v>
      </c>
      <c r="V192" s="200"/>
      <c r="X192" s="60"/>
    </row>
    <row r="193" spans="1:24" s="59" customFormat="1" ht="37.5" customHeight="1">
      <c r="A193" s="214">
        <v>3</v>
      </c>
      <c r="B193" s="257"/>
      <c r="C193" s="324" t="s">
        <v>105</v>
      </c>
      <c r="D193" s="326"/>
      <c r="E193" s="217"/>
      <c r="F193" s="217"/>
      <c r="G193" s="217"/>
      <c r="H193" s="217"/>
      <c r="I193" s="217"/>
      <c r="J193" s="217"/>
      <c r="K193" s="217"/>
      <c r="L193" s="217"/>
      <c r="M193" s="217"/>
      <c r="N193" s="218"/>
      <c r="O193" s="219"/>
      <c r="P193" s="220"/>
      <c r="Q193" s="221"/>
      <c r="R193" s="222"/>
      <c r="S193" s="223">
        <f>S194+S269</f>
        <v>0</v>
      </c>
      <c r="T193" s="224">
        <f>T194+T269</f>
        <v>0</v>
      </c>
      <c r="U193" s="225">
        <f>T193+S193</f>
        <v>0</v>
      </c>
      <c r="V193" s="288"/>
      <c r="X193" s="60"/>
    </row>
    <row r="194" spans="1:24" s="59" customFormat="1" ht="40.5" customHeight="1">
      <c r="A194" s="213" t="s">
        <v>199</v>
      </c>
      <c r="B194" s="232"/>
      <c r="C194" s="325" t="s">
        <v>106</v>
      </c>
      <c r="D194" s="327"/>
      <c r="E194" s="82"/>
      <c r="F194" s="83"/>
      <c r="G194" s="83"/>
      <c r="H194" s="83"/>
      <c r="I194" s="83"/>
      <c r="J194" s="83"/>
      <c r="K194" s="83"/>
      <c r="L194" s="83"/>
      <c r="M194" s="83"/>
      <c r="N194" s="146"/>
      <c r="O194" s="98"/>
      <c r="P194" s="95"/>
      <c r="Q194" s="84"/>
      <c r="R194" s="85"/>
      <c r="S194" s="226">
        <f>SUM(S195:S268)</f>
        <v>0</v>
      </c>
      <c r="T194" s="227">
        <f>SUM(T195:T268)</f>
        <v>0</v>
      </c>
      <c r="U194" s="212">
        <f>T194+S194</f>
        <v>0</v>
      </c>
      <c r="V194" s="289"/>
      <c r="X194" s="60"/>
    </row>
    <row r="195" spans="1:24" s="59" customFormat="1" ht="30.75" customHeight="1" outlineLevel="1">
      <c r="A195" s="66" t="s">
        <v>206</v>
      </c>
      <c r="B195" s="202"/>
      <c r="C195" s="89" t="s">
        <v>422</v>
      </c>
      <c r="D195" s="330"/>
      <c r="E195" s="100" t="s">
        <v>4</v>
      </c>
      <c r="F195" s="101">
        <f>F196</f>
        <v>6.43</v>
      </c>
      <c r="G195" s="102">
        <f>G196</f>
        <v>9.81</v>
      </c>
      <c r="H195" s="102">
        <f>H196</f>
        <v>9.73</v>
      </c>
      <c r="I195" s="102">
        <f>I196</f>
        <v>3.86</v>
      </c>
      <c r="J195" s="102"/>
      <c r="K195" s="102"/>
      <c r="L195" s="102"/>
      <c r="M195" s="102"/>
      <c r="N195" s="121"/>
      <c r="O195" s="190">
        <f>SUM(F195:N195)</f>
        <v>29.83</v>
      </c>
      <c r="P195" s="182">
        <f>P196*O196/O195</f>
        <v>0</v>
      </c>
      <c r="Q195" s="183"/>
      <c r="R195" s="184">
        <f t="shared" ref="R195" si="160">P195+Q195</f>
        <v>0</v>
      </c>
      <c r="S195" s="182">
        <f>O195*P195</f>
        <v>0</v>
      </c>
      <c r="T195" s="185">
        <f>O195*Q195</f>
        <v>0</v>
      </c>
      <c r="U195" s="184">
        <f>S195+T195</f>
        <v>0</v>
      </c>
      <c r="V195" s="290" t="s">
        <v>109</v>
      </c>
      <c r="X195" s="60"/>
    </row>
    <row r="196" spans="1:24" s="59" customFormat="1" ht="32.25" customHeight="1" outlineLevel="1">
      <c r="A196" s="66" t="s">
        <v>207</v>
      </c>
      <c r="B196" s="235">
        <v>4100017642</v>
      </c>
      <c r="C196" s="157" t="s">
        <v>108</v>
      </c>
      <c r="D196" s="316"/>
      <c r="E196" s="15" t="s">
        <v>4</v>
      </c>
      <c r="F196" s="6">
        <v>6.43</v>
      </c>
      <c r="G196" s="92">
        <v>9.81</v>
      </c>
      <c r="H196" s="92">
        <v>9.73</v>
      </c>
      <c r="I196" s="92">
        <v>3.86</v>
      </c>
      <c r="J196" s="92"/>
      <c r="K196" s="92"/>
      <c r="L196" s="92"/>
      <c r="M196" s="92"/>
      <c r="N196" s="122"/>
      <c r="O196" s="123">
        <f t="shared" ref="O196:O201" si="161">SUM(F196:N196)</f>
        <v>29.83</v>
      </c>
      <c r="P196" s="186"/>
      <c r="Q196" s="187"/>
      <c r="R196" s="184"/>
      <c r="S196" s="182"/>
      <c r="T196" s="185"/>
      <c r="U196" s="184"/>
      <c r="V196" s="397" t="s">
        <v>405</v>
      </c>
      <c r="X196" s="60"/>
    </row>
    <row r="197" spans="1:24" s="59" customFormat="1" ht="27.75" customHeight="1" outlineLevel="1">
      <c r="A197" s="66" t="s">
        <v>208</v>
      </c>
      <c r="B197" s="202"/>
      <c r="C197" s="229" t="s">
        <v>140</v>
      </c>
      <c r="D197" s="330"/>
      <c r="E197" s="103" t="s">
        <v>4</v>
      </c>
      <c r="F197" s="101">
        <f>F198</f>
        <v>5.39</v>
      </c>
      <c r="G197" s="115">
        <f>G198</f>
        <v>4.28</v>
      </c>
      <c r="H197" s="115">
        <f>H198</f>
        <v>1.63</v>
      </c>
      <c r="I197" s="115">
        <f>I198</f>
        <v>2.75</v>
      </c>
      <c r="J197" s="101"/>
      <c r="K197" s="101"/>
      <c r="L197" s="102"/>
      <c r="M197" s="102"/>
      <c r="N197" s="121"/>
      <c r="O197" s="190">
        <f t="shared" si="161"/>
        <v>14.05</v>
      </c>
      <c r="P197" s="182">
        <f>(SUMPRODUCT(O198:O200,P198:P200)/O197)</f>
        <v>0</v>
      </c>
      <c r="Q197" s="183"/>
      <c r="R197" s="184">
        <f t="shared" ref="R197" si="162">P197+Q197</f>
        <v>0</v>
      </c>
      <c r="S197" s="182">
        <f t="shared" ref="S197" si="163">O197*P197</f>
        <v>0</v>
      </c>
      <c r="T197" s="185">
        <f t="shared" ref="T197" si="164">O197*Q197</f>
        <v>0</v>
      </c>
      <c r="U197" s="184">
        <f t="shared" ref="U197" si="165">S197+T197</f>
        <v>0</v>
      </c>
      <c r="V197" s="200" t="s">
        <v>123</v>
      </c>
      <c r="X197" s="60"/>
    </row>
    <row r="198" spans="1:24" s="59" customFormat="1" ht="27.75" customHeight="1" outlineLevel="1">
      <c r="A198" s="66" t="s">
        <v>209</v>
      </c>
      <c r="B198" s="202"/>
      <c r="C198" s="309" t="s">
        <v>16</v>
      </c>
      <c r="D198" s="316"/>
      <c r="E198" s="11" t="s">
        <v>4</v>
      </c>
      <c r="F198" s="11">
        <v>5.39</v>
      </c>
      <c r="G198" s="92">
        <v>4.28</v>
      </c>
      <c r="H198" s="92">
        <v>1.63</v>
      </c>
      <c r="I198" s="92">
        <v>2.75</v>
      </c>
      <c r="J198" s="92"/>
      <c r="K198" s="92"/>
      <c r="L198" s="92"/>
      <c r="M198" s="92"/>
      <c r="N198" s="122"/>
      <c r="O198" s="123">
        <f t="shared" si="161"/>
        <v>14.05</v>
      </c>
      <c r="P198" s="188"/>
      <c r="Q198" s="189"/>
      <c r="R198" s="184"/>
      <c r="S198" s="182"/>
      <c r="T198" s="185"/>
      <c r="U198" s="184"/>
      <c r="V198" s="200"/>
      <c r="X198" s="60"/>
    </row>
    <row r="199" spans="1:24" s="59" customFormat="1" ht="27.75" customHeight="1" outlineLevel="1">
      <c r="A199" s="66" t="s">
        <v>210</v>
      </c>
      <c r="B199" s="202"/>
      <c r="C199" s="307" t="s">
        <v>90</v>
      </c>
      <c r="D199" s="328">
        <v>50.4</v>
      </c>
      <c r="E199" s="26" t="s">
        <v>30</v>
      </c>
      <c r="F199" s="398">
        <f>5.11*D199</f>
        <v>258</v>
      </c>
      <c r="G199" s="400">
        <f>3.88*D199</f>
        <v>196</v>
      </c>
      <c r="H199" s="400">
        <f>1.35*D199</f>
        <v>68</v>
      </c>
      <c r="I199" s="400">
        <f>2.07*D199</f>
        <v>104</v>
      </c>
      <c r="J199" s="92"/>
      <c r="K199" s="92"/>
      <c r="L199" s="92"/>
      <c r="M199" s="92"/>
      <c r="N199" s="122"/>
      <c r="O199" s="123">
        <f t="shared" si="161"/>
        <v>626</v>
      </c>
      <c r="P199" s="188"/>
      <c r="Q199" s="189"/>
      <c r="R199" s="184"/>
      <c r="S199" s="182"/>
      <c r="T199" s="185"/>
      <c r="U199" s="184"/>
      <c r="V199" s="200"/>
      <c r="X199" s="60"/>
    </row>
    <row r="200" spans="1:24" s="59" customFormat="1" ht="27.75" customHeight="1" outlineLevel="1">
      <c r="A200" s="66" t="s">
        <v>211</v>
      </c>
      <c r="B200" s="202"/>
      <c r="C200" s="308" t="s">
        <v>59</v>
      </c>
      <c r="D200" s="311">
        <v>2.3E-2</v>
      </c>
      <c r="E200" s="23" t="s">
        <v>34</v>
      </c>
      <c r="F200" s="23">
        <f>5.11*D200</f>
        <v>0.12</v>
      </c>
      <c r="G200" s="92">
        <f>3.88*D200</f>
        <v>0.09</v>
      </c>
      <c r="H200" s="92">
        <f>1.35*D200</f>
        <v>0.03</v>
      </c>
      <c r="I200" s="92">
        <f>2.07*D200</f>
        <v>0.05</v>
      </c>
      <c r="J200" s="92"/>
      <c r="K200" s="92"/>
      <c r="L200" s="92"/>
      <c r="M200" s="92"/>
      <c r="N200" s="122"/>
      <c r="O200" s="123">
        <f t="shared" si="161"/>
        <v>0.28999999999999998</v>
      </c>
      <c r="P200" s="96"/>
      <c r="Q200" s="189"/>
      <c r="R200" s="69"/>
      <c r="S200" s="87"/>
      <c r="T200" s="230"/>
      <c r="U200" s="69"/>
      <c r="V200" s="200"/>
      <c r="X200" s="60"/>
    </row>
    <row r="201" spans="1:24" s="59" customFormat="1" ht="37.5" customHeight="1" outlineLevel="1">
      <c r="A201" s="66" t="s">
        <v>212</v>
      </c>
      <c r="B201" s="202"/>
      <c r="C201" s="231" t="s">
        <v>220</v>
      </c>
      <c r="D201" s="310"/>
      <c r="E201" s="104" t="s">
        <v>4</v>
      </c>
      <c r="F201" s="102">
        <v>1.77</v>
      </c>
      <c r="G201" s="102">
        <v>9.8000000000000007</v>
      </c>
      <c r="H201" s="102"/>
      <c r="I201" s="102">
        <v>14.14</v>
      </c>
      <c r="J201" s="102"/>
      <c r="K201" s="102"/>
      <c r="L201" s="18"/>
      <c r="M201" s="18"/>
      <c r="N201" s="114"/>
      <c r="O201" s="190">
        <f t="shared" si="161"/>
        <v>25.71</v>
      </c>
      <c r="P201" s="182">
        <f>(SUMPRODUCT(O202:O203,P202:P203)/O201)</f>
        <v>0</v>
      </c>
      <c r="Q201" s="183"/>
      <c r="R201" s="184">
        <f t="shared" ref="R201" si="166">P201+Q201</f>
        <v>0</v>
      </c>
      <c r="S201" s="182">
        <f t="shared" ref="S201" si="167">O201*P201</f>
        <v>0</v>
      </c>
      <c r="T201" s="185">
        <f t="shared" ref="T201" si="168">O201*Q201</f>
        <v>0</v>
      </c>
      <c r="U201" s="184">
        <f t="shared" ref="U201" si="169">S201+T201</f>
        <v>0</v>
      </c>
      <c r="V201" s="200"/>
      <c r="X201" s="60"/>
    </row>
    <row r="202" spans="1:24" s="59" customFormat="1" ht="27.75" customHeight="1" outlineLevel="1">
      <c r="A202" s="66" t="s">
        <v>213</v>
      </c>
      <c r="B202" s="202"/>
      <c r="C202" s="307" t="s">
        <v>90</v>
      </c>
      <c r="D202" s="266">
        <v>50.4</v>
      </c>
      <c r="E202" s="23" t="s">
        <v>30</v>
      </c>
      <c r="F202" s="400">
        <f>1.77*D202</f>
        <v>89</v>
      </c>
      <c r="G202" s="400">
        <f>9.8*D202</f>
        <v>494</v>
      </c>
      <c r="H202" s="92"/>
      <c r="I202" s="400">
        <f>14.14*D202</f>
        <v>713</v>
      </c>
      <c r="J202" s="92"/>
      <c r="K202" s="92"/>
      <c r="L202" s="92"/>
      <c r="M202" s="92"/>
      <c r="N202" s="114"/>
      <c r="O202" s="123">
        <f>SUM(F202:N202)</f>
        <v>1296</v>
      </c>
      <c r="P202" s="188"/>
      <c r="Q202" s="189"/>
      <c r="R202" s="184"/>
      <c r="S202" s="182"/>
      <c r="T202" s="185"/>
      <c r="U202" s="184"/>
      <c r="V202" s="200"/>
      <c r="X202" s="60"/>
    </row>
    <row r="203" spans="1:24" s="59" customFormat="1" ht="27.75" customHeight="1" outlineLevel="1">
      <c r="A203" s="66" t="s">
        <v>214</v>
      </c>
      <c r="B203" s="202"/>
      <c r="C203" s="308" t="s">
        <v>59</v>
      </c>
      <c r="D203" s="311">
        <v>2.3E-2</v>
      </c>
      <c r="E203" s="23" t="s">
        <v>34</v>
      </c>
      <c r="F203" s="92">
        <f>1.77*D203</f>
        <v>0.04</v>
      </c>
      <c r="G203" s="92">
        <f>9.8*D203</f>
        <v>0.23</v>
      </c>
      <c r="H203" s="92"/>
      <c r="I203" s="92">
        <f>14.14*D203</f>
        <v>0.33</v>
      </c>
      <c r="J203" s="92"/>
      <c r="K203" s="92"/>
      <c r="L203" s="92"/>
      <c r="M203" s="92"/>
      <c r="N203" s="114"/>
      <c r="O203" s="123">
        <f>SUM(F203:N203)</f>
        <v>0.6</v>
      </c>
      <c r="P203" s="188"/>
      <c r="Q203" s="189"/>
      <c r="R203" s="184"/>
      <c r="S203" s="182"/>
      <c r="T203" s="185"/>
      <c r="U203" s="184"/>
      <c r="V203" s="200"/>
      <c r="X203" s="60"/>
    </row>
    <row r="204" spans="1:24" s="59" customFormat="1" ht="37.5" customHeight="1" outlineLevel="1">
      <c r="A204" s="66" t="s">
        <v>215</v>
      </c>
      <c r="B204" s="202"/>
      <c r="C204" s="231" t="s">
        <v>155</v>
      </c>
      <c r="D204" s="312"/>
      <c r="E204" s="104" t="s">
        <v>4</v>
      </c>
      <c r="F204" s="434">
        <v>1.76</v>
      </c>
      <c r="G204" s="102"/>
      <c r="H204" s="102"/>
      <c r="I204" s="102"/>
      <c r="J204" s="102"/>
      <c r="K204" s="102"/>
      <c r="L204" s="18"/>
      <c r="M204" s="18"/>
      <c r="N204" s="114"/>
      <c r="O204" s="190">
        <f t="shared" ref="O204:O207" si="170">SUM(F204:N204)</f>
        <v>1.76</v>
      </c>
      <c r="P204" s="182">
        <f>(SUMPRODUCT(O205:O207,P205:P207)/O204)</f>
        <v>0</v>
      </c>
      <c r="Q204" s="183"/>
      <c r="R204" s="184">
        <f t="shared" ref="R204" si="171">P204+Q204</f>
        <v>0</v>
      </c>
      <c r="S204" s="182">
        <f t="shared" ref="S204" si="172">O204*P204</f>
        <v>0</v>
      </c>
      <c r="T204" s="185">
        <f t="shared" ref="T204" si="173">O204*Q204</f>
        <v>0</v>
      </c>
      <c r="U204" s="184">
        <f t="shared" ref="U204" si="174">S204+T204</f>
        <v>0</v>
      </c>
      <c r="V204" s="200" t="s">
        <v>453</v>
      </c>
      <c r="X204" s="60"/>
    </row>
    <row r="205" spans="1:24" s="59" customFormat="1" ht="30.75" customHeight="1" outlineLevel="1">
      <c r="A205" s="66" t="s">
        <v>217</v>
      </c>
      <c r="B205" s="202"/>
      <c r="C205" s="308" t="s">
        <v>16</v>
      </c>
      <c r="D205" s="310"/>
      <c r="E205" s="23" t="s">
        <v>4</v>
      </c>
      <c r="F205" s="435">
        <v>1.76</v>
      </c>
      <c r="G205" s="92"/>
      <c r="H205" s="92"/>
      <c r="I205" s="92"/>
      <c r="J205" s="92"/>
      <c r="K205" s="92"/>
      <c r="L205" s="92"/>
      <c r="M205" s="92"/>
      <c r="N205" s="114"/>
      <c r="O205" s="123">
        <f t="shared" si="170"/>
        <v>1.76</v>
      </c>
      <c r="P205" s="188"/>
      <c r="Q205" s="189"/>
      <c r="R205" s="184"/>
      <c r="S205" s="182"/>
      <c r="T205" s="185"/>
      <c r="U205" s="184"/>
      <c r="V205" s="200"/>
      <c r="X205" s="60"/>
    </row>
    <row r="206" spans="1:24" s="59" customFormat="1" ht="30.75" customHeight="1" outlineLevel="1">
      <c r="A206" s="66" t="s">
        <v>218</v>
      </c>
      <c r="B206" s="202"/>
      <c r="C206" s="309" t="s">
        <v>17</v>
      </c>
      <c r="D206" s="310"/>
      <c r="E206" s="23" t="s">
        <v>4</v>
      </c>
      <c r="F206" s="435">
        <v>1.76</v>
      </c>
      <c r="G206" s="92"/>
      <c r="H206" s="92"/>
      <c r="I206" s="92"/>
      <c r="J206" s="92"/>
      <c r="K206" s="92"/>
      <c r="L206" s="92"/>
      <c r="M206" s="92"/>
      <c r="N206" s="114"/>
      <c r="O206" s="123">
        <f t="shared" si="170"/>
        <v>1.76</v>
      </c>
      <c r="P206" s="188"/>
      <c r="Q206" s="189"/>
      <c r="R206" s="184"/>
      <c r="S206" s="182"/>
      <c r="T206" s="185"/>
      <c r="U206" s="184"/>
      <c r="V206" s="200"/>
      <c r="X206" s="60"/>
    </row>
    <row r="207" spans="1:24" s="59" customFormat="1" ht="30.75" customHeight="1" outlineLevel="1">
      <c r="A207" s="66" t="s">
        <v>219</v>
      </c>
      <c r="B207" s="432">
        <v>4100017642</v>
      </c>
      <c r="C207" s="157" t="s">
        <v>108</v>
      </c>
      <c r="D207" s="249"/>
      <c r="E207" s="23" t="s">
        <v>4</v>
      </c>
      <c r="F207" s="435">
        <v>1.76</v>
      </c>
      <c r="G207" s="92"/>
      <c r="H207" s="92"/>
      <c r="I207" s="92"/>
      <c r="J207" s="92"/>
      <c r="K207" s="92"/>
      <c r="L207" s="92"/>
      <c r="M207" s="92"/>
      <c r="N207" s="114"/>
      <c r="O207" s="123">
        <f t="shared" si="170"/>
        <v>1.76</v>
      </c>
      <c r="P207" s="188"/>
      <c r="Q207" s="106"/>
      <c r="R207" s="69"/>
      <c r="S207" s="70"/>
      <c r="T207" s="71"/>
      <c r="U207" s="69"/>
      <c r="V207" s="397" t="s">
        <v>405</v>
      </c>
      <c r="X207" s="60"/>
    </row>
    <row r="208" spans="1:24" s="59" customFormat="1" ht="33" customHeight="1" outlineLevel="1">
      <c r="A208" s="66" t="s">
        <v>221</v>
      </c>
      <c r="B208" s="202"/>
      <c r="C208" s="231" t="s">
        <v>91</v>
      </c>
      <c r="D208" s="312"/>
      <c r="E208" s="104" t="s">
        <v>4</v>
      </c>
      <c r="F208" s="102">
        <f>F209+F210</f>
        <v>30.72</v>
      </c>
      <c r="G208" s="102">
        <f t="shared" ref="G208:I208" si="175">G209+G210</f>
        <v>60.31</v>
      </c>
      <c r="H208" s="102">
        <f t="shared" si="175"/>
        <v>49.3</v>
      </c>
      <c r="I208" s="102">
        <f t="shared" si="175"/>
        <v>45.2</v>
      </c>
      <c r="J208" s="102"/>
      <c r="K208" s="102"/>
      <c r="L208" s="18"/>
      <c r="M208" s="18"/>
      <c r="N208" s="114"/>
      <c r="O208" s="190">
        <f t="shared" ref="O208:O212" si="176">SUM(F208:N208)</f>
        <v>185.53</v>
      </c>
      <c r="P208" s="182">
        <f>(SUMPRODUCT(O209:O212,P209:P212)/O208)</f>
        <v>0</v>
      </c>
      <c r="Q208" s="183"/>
      <c r="R208" s="184">
        <f t="shared" ref="R208" si="177">P208+Q208</f>
        <v>0</v>
      </c>
      <c r="S208" s="182">
        <f t="shared" ref="S208" si="178">O208*P208</f>
        <v>0</v>
      </c>
      <c r="T208" s="185">
        <f t="shared" ref="T208" si="179">O208*Q208</f>
        <v>0</v>
      </c>
      <c r="U208" s="184">
        <f t="shared" ref="U208" si="180">S208+T208</f>
        <v>0</v>
      </c>
      <c r="V208" s="200"/>
      <c r="X208" s="60"/>
    </row>
    <row r="209" spans="1:24" s="59" customFormat="1" ht="29.25" customHeight="1" outlineLevel="1">
      <c r="A209" s="66" t="s">
        <v>222</v>
      </c>
      <c r="B209" s="202"/>
      <c r="C209" s="307" t="s">
        <v>16</v>
      </c>
      <c r="D209" s="310"/>
      <c r="E209" s="23" t="s">
        <v>4</v>
      </c>
      <c r="F209" s="435">
        <v>28.95</v>
      </c>
      <c r="G209" s="435">
        <v>57.54</v>
      </c>
      <c r="H209" s="435">
        <v>49.01</v>
      </c>
      <c r="I209" s="435">
        <v>44.75</v>
      </c>
      <c r="J209" s="92"/>
      <c r="K209" s="92"/>
      <c r="L209" s="92"/>
      <c r="M209" s="92"/>
      <c r="N209" s="114"/>
      <c r="O209" s="123">
        <f t="shared" si="176"/>
        <v>180.25</v>
      </c>
      <c r="P209" s="188"/>
      <c r="Q209" s="189"/>
      <c r="R209" s="184"/>
      <c r="S209" s="182"/>
      <c r="T209" s="185"/>
      <c r="U209" s="184"/>
      <c r="V209" s="200"/>
      <c r="X209" s="60"/>
    </row>
    <row r="210" spans="1:24" s="59" customFormat="1" ht="29.25" customHeight="1" outlineLevel="1">
      <c r="A210" s="66" t="s">
        <v>224</v>
      </c>
      <c r="B210" s="202"/>
      <c r="C210" s="307" t="s">
        <v>18</v>
      </c>
      <c r="D210" s="310"/>
      <c r="E210" s="23" t="s">
        <v>4</v>
      </c>
      <c r="F210" s="92">
        <v>1.77</v>
      </c>
      <c r="G210" s="92">
        <v>2.77</v>
      </c>
      <c r="H210" s="92">
        <v>0.28999999999999998</v>
      </c>
      <c r="I210" s="92">
        <v>0.45</v>
      </c>
      <c r="J210" s="92"/>
      <c r="K210" s="92"/>
      <c r="L210" s="92"/>
      <c r="M210" s="92"/>
      <c r="N210" s="114"/>
      <c r="O210" s="123">
        <f t="shared" si="176"/>
        <v>5.28</v>
      </c>
      <c r="P210" s="188"/>
      <c r="Q210" s="189"/>
      <c r="R210" s="184"/>
      <c r="S210" s="182"/>
      <c r="T210" s="185"/>
      <c r="U210" s="184"/>
      <c r="V210" s="200"/>
      <c r="X210" s="60"/>
    </row>
    <row r="211" spans="1:24" s="59" customFormat="1" ht="29.25" customHeight="1" outlineLevel="1">
      <c r="A211" s="66" t="s">
        <v>225</v>
      </c>
      <c r="B211" s="202"/>
      <c r="C211" s="307" t="s">
        <v>90</v>
      </c>
      <c r="D211" s="266">
        <v>50.4</v>
      </c>
      <c r="E211" s="23" t="s">
        <v>30</v>
      </c>
      <c r="F211" s="400">
        <f>30.92*D211</f>
        <v>1558</v>
      </c>
      <c r="G211" s="400">
        <f>60.13*D211</f>
        <v>3031</v>
      </c>
      <c r="H211" s="436">
        <f>50.17*D211</f>
        <v>2529</v>
      </c>
      <c r="I211" s="436">
        <f>45.73*D211</f>
        <v>2305</v>
      </c>
      <c r="J211" s="92"/>
      <c r="K211" s="92"/>
      <c r="L211" s="92"/>
      <c r="M211" s="92"/>
      <c r="N211" s="114"/>
      <c r="O211" s="123">
        <f t="shared" si="176"/>
        <v>9423</v>
      </c>
      <c r="P211" s="188"/>
      <c r="Q211" s="106"/>
      <c r="R211" s="69"/>
      <c r="S211" s="70"/>
      <c r="T211" s="71"/>
      <c r="U211" s="69"/>
      <c r="V211" s="200"/>
      <c r="X211" s="60"/>
    </row>
    <row r="212" spans="1:24" s="59" customFormat="1" ht="29.25" customHeight="1" outlineLevel="1">
      <c r="A212" s="66" t="s">
        <v>226</v>
      </c>
      <c r="B212" s="202"/>
      <c r="C212" s="308" t="s">
        <v>59</v>
      </c>
      <c r="D212" s="311">
        <v>2.3E-2</v>
      </c>
      <c r="E212" s="23" t="s">
        <v>34</v>
      </c>
      <c r="F212" s="92">
        <f>30.92*D212</f>
        <v>0.71</v>
      </c>
      <c r="G212" s="92">
        <f>60.13*D212</f>
        <v>1.38</v>
      </c>
      <c r="H212" s="92">
        <f>50.17*D212</f>
        <v>1.1499999999999999</v>
      </c>
      <c r="I212" s="92">
        <f>45.73*D212</f>
        <v>1.05</v>
      </c>
      <c r="J212" s="92"/>
      <c r="K212" s="92"/>
      <c r="L212" s="92"/>
      <c r="M212" s="92"/>
      <c r="N212" s="114"/>
      <c r="O212" s="123">
        <f t="shared" si="176"/>
        <v>4.29</v>
      </c>
      <c r="P212" s="188"/>
      <c r="Q212" s="106"/>
      <c r="R212" s="69"/>
      <c r="S212" s="70"/>
      <c r="T212" s="71"/>
      <c r="U212" s="69"/>
      <c r="V212" s="200"/>
      <c r="X212" s="60"/>
    </row>
    <row r="213" spans="1:24" s="59" customFormat="1" ht="32.25" customHeight="1" outlineLevel="1">
      <c r="A213" s="66" t="s">
        <v>227</v>
      </c>
      <c r="B213" s="202"/>
      <c r="C213" s="231" t="s">
        <v>156</v>
      </c>
      <c r="D213" s="312"/>
      <c r="E213" s="104" t="s">
        <v>4</v>
      </c>
      <c r="F213" s="102">
        <v>11.64</v>
      </c>
      <c r="G213" s="102">
        <v>8.14</v>
      </c>
      <c r="H213" s="102">
        <v>5.16</v>
      </c>
      <c r="I213" s="102"/>
      <c r="J213" s="102"/>
      <c r="K213" s="102"/>
      <c r="L213" s="18"/>
      <c r="M213" s="18"/>
      <c r="N213" s="114"/>
      <c r="O213" s="190">
        <f t="shared" ref="O213:O216" si="181">SUM(F213:N213)</f>
        <v>24.94</v>
      </c>
      <c r="P213" s="182">
        <f>(SUMPRODUCT(O214:O216,P214:P216)/O213)</f>
        <v>0</v>
      </c>
      <c r="Q213" s="183"/>
      <c r="R213" s="184">
        <f t="shared" ref="R213" si="182">P213+Q213</f>
        <v>0</v>
      </c>
      <c r="S213" s="182">
        <f t="shared" ref="S213" si="183">O213*P213</f>
        <v>0</v>
      </c>
      <c r="T213" s="185">
        <f t="shared" ref="T213" si="184">O213*Q213</f>
        <v>0</v>
      </c>
      <c r="U213" s="184">
        <f t="shared" ref="U213" si="185">S213+T213</f>
        <v>0</v>
      </c>
      <c r="V213" s="200" t="s">
        <v>506</v>
      </c>
      <c r="X213" s="60"/>
    </row>
    <row r="214" spans="1:24" s="59" customFormat="1" ht="30.75" customHeight="1" outlineLevel="1">
      <c r="A214" s="66" t="s">
        <v>223</v>
      </c>
      <c r="B214" s="202"/>
      <c r="C214" s="308" t="s">
        <v>16</v>
      </c>
      <c r="D214" s="423"/>
      <c r="E214" s="26" t="s">
        <v>4</v>
      </c>
      <c r="F214" s="435">
        <v>11.64</v>
      </c>
      <c r="G214" s="435">
        <v>8.14</v>
      </c>
      <c r="H214" s="435">
        <v>5.16</v>
      </c>
      <c r="I214" s="92"/>
      <c r="J214" s="92"/>
      <c r="K214" s="92"/>
      <c r="L214" s="92"/>
      <c r="M214" s="92"/>
      <c r="N214" s="122"/>
      <c r="O214" s="123">
        <f t="shared" si="181"/>
        <v>24.94</v>
      </c>
      <c r="P214" s="188"/>
      <c r="Q214" s="189"/>
      <c r="R214" s="184"/>
      <c r="S214" s="182"/>
      <c r="T214" s="185"/>
      <c r="U214" s="184"/>
      <c r="V214" s="200"/>
      <c r="X214" s="60"/>
    </row>
    <row r="215" spans="1:24" s="59" customFormat="1" ht="30.75" customHeight="1" outlineLevel="1">
      <c r="A215" s="66" t="s">
        <v>228</v>
      </c>
      <c r="B215" s="202"/>
      <c r="C215" s="309" t="s">
        <v>17</v>
      </c>
      <c r="D215" s="266"/>
      <c r="E215" s="23" t="s">
        <v>4</v>
      </c>
      <c r="F215" s="92">
        <v>11.64</v>
      </c>
      <c r="G215" s="92">
        <v>8.14</v>
      </c>
      <c r="H215" s="92">
        <v>5.16</v>
      </c>
      <c r="I215" s="92"/>
      <c r="J215" s="92"/>
      <c r="K215" s="92"/>
      <c r="L215" s="92"/>
      <c r="M215" s="92"/>
      <c r="N215" s="122"/>
      <c r="O215" s="123">
        <f t="shared" si="181"/>
        <v>24.94</v>
      </c>
      <c r="P215" s="188"/>
      <c r="Q215" s="189"/>
      <c r="R215" s="184"/>
      <c r="S215" s="182"/>
      <c r="T215" s="185"/>
      <c r="U215" s="184"/>
      <c r="V215" s="200"/>
      <c r="X215" s="60"/>
    </row>
    <row r="216" spans="1:24" s="59" customFormat="1" ht="32.25" customHeight="1" outlineLevel="1">
      <c r="A216" s="66" t="s">
        <v>229</v>
      </c>
      <c r="B216" s="432">
        <v>4100017642</v>
      </c>
      <c r="C216" s="157" t="s">
        <v>108</v>
      </c>
      <c r="D216" s="249"/>
      <c r="E216" s="23" t="s">
        <v>4</v>
      </c>
      <c r="F216" s="92">
        <v>11.64</v>
      </c>
      <c r="G216" s="92">
        <v>8.14</v>
      </c>
      <c r="H216" s="92">
        <v>5.16</v>
      </c>
      <c r="I216" s="92"/>
      <c r="J216" s="92"/>
      <c r="K216" s="92"/>
      <c r="L216" s="92"/>
      <c r="M216" s="92"/>
      <c r="N216" s="122"/>
      <c r="O216" s="123">
        <f t="shared" si="181"/>
        <v>24.94</v>
      </c>
      <c r="P216" s="188"/>
      <c r="Q216" s="106"/>
      <c r="R216" s="69"/>
      <c r="S216" s="70"/>
      <c r="T216" s="71"/>
      <c r="U216" s="69"/>
      <c r="V216" s="397" t="s">
        <v>405</v>
      </c>
      <c r="X216" s="60"/>
    </row>
    <row r="217" spans="1:24" s="59" customFormat="1" ht="42" customHeight="1" outlineLevel="1">
      <c r="A217" s="66" t="s">
        <v>216</v>
      </c>
      <c r="B217" s="202"/>
      <c r="C217" s="231" t="s">
        <v>298</v>
      </c>
      <c r="D217" s="312"/>
      <c r="E217" s="104" t="s">
        <v>4</v>
      </c>
      <c r="F217" s="102"/>
      <c r="G217" s="102"/>
      <c r="H217" s="434">
        <v>10.92</v>
      </c>
      <c r="I217" s="434">
        <v>4.28</v>
      </c>
      <c r="J217" s="102"/>
      <c r="K217" s="102"/>
      <c r="L217" s="18"/>
      <c r="M217" s="18"/>
      <c r="N217" s="114"/>
      <c r="O217" s="190">
        <f t="shared" ref="O217:O249" si="186">SUM(F217:N217)</f>
        <v>15.2</v>
      </c>
      <c r="P217" s="182">
        <f>(SUMPRODUCT(O218:O220,P218:P220)/O217)</f>
        <v>0</v>
      </c>
      <c r="Q217" s="183"/>
      <c r="R217" s="184">
        <f t="shared" ref="R217" si="187">P217+Q217</f>
        <v>0</v>
      </c>
      <c r="S217" s="182">
        <f t="shared" ref="S217" si="188">O217*P217</f>
        <v>0</v>
      </c>
      <c r="T217" s="185">
        <f t="shared" ref="T217" si="189">O217*Q217</f>
        <v>0</v>
      </c>
      <c r="U217" s="184">
        <f t="shared" ref="U217" si="190">S217+T217</f>
        <v>0</v>
      </c>
      <c r="V217" s="415" t="s">
        <v>556</v>
      </c>
      <c r="X217" s="60"/>
    </row>
    <row r="218" spans="1:24" s="59" customFormat="1" ht="28.5" customHeight="1" outlineLevel="1">
      <c r="A218" s="66" t="s">
        <v>230</v>
      </c>
      <c r="B218" s="202"/>
      <c r="C218" s="307" t="s">
        <v>16</v>
      </c>
      <c r="D218" s="310"/>
      <c r="E218" s="23" t="s">
        <v>4</v>
      </c>
      <c r="F218" s="92"/>
      <c r="G218" s="92"/>
      <c r="H218" s="435">
        <v>10.92</v>
      </c>
      <c r="I218" s="435">
        <v>4.28</v>
      </c>
      <c r="J218" s="92"/>
      <c r="K218" s="92"/>
      <c r="L218" s="92"/>
      <c r="M218" s="92"/>
      <c r="N218" s="122"/>
      <c r="O218" s="123">
        <f t="shared" si="186"/>
        <v>15.2</v>
      </c>
      <c r="P218" s="188"/>
      <c r="Q218" s="189"/>
      <c r="R218" s="184"/>
      <c r="S218" s="182"/>
      <c r="T218" s="185"/>
      <c r="U218" s="184"/>
      <c r="V218" s="200"/>
      <c r="X218" s="60"/>
    </row>
    <row r="219" spans="1:24" s="59" customFormat="1" ht="28.5" customHeight="1" outlineLevel="1">
      <c r="A219" s="66" t="s">
        <v>231</v>
      </c>
      <c r="B219" s="202"/>
      <c r="C219" s="307" t="s">
        <v>90</v>
      </c>
      <c r="D219" s="266">
        <v>50.4</v>
      </c>
      <c r="E219" s="23" t="s">
        <v>30</v>
      </c>
      <c r="F219" s="92"/>
      <c r="G219" s="400"/>
      <c r="H219" s="436">
        <f>10.92*D219</f>
        <v>550</v>
      </c>
      <c r="I219" s="436">
        <f>4.28*D219</f>
        <v>216</v>
      </c>
      <c r="J219" s="92"/>
      <c r="K219" s="92"/>
      <c r="L219" s="92"/>
      <c r="M219" s="92"/>
      <c r="N219" s="122"/>
      <c r="O219" s="123">
        <f t="shared" si="186"/>
        <v>766</v>
      </c>
      <c r="P219" s="188"/>
      <c r="Q219" s="189"/>
      <c r="R219" s="184"/>
      <c r="S219" s="182"/>
      <c r="T219" s="185"/>
      <c r="U219" s="184"/>
      <c r="V219" s="200"/>
      <c r="X219" s="60"/>
    </row>
    <row r="220" spans="1:24" s="59" customFormat="1" ht="28.5" customHeight="1" outlineLevel="1">
      <c r="A220" s="66" t="s">
        <v>232</v>
      </c>
      <c r="B220" s="202"/>
      <c r="C220" s="308" t="s">
        <v>59</v>
      </c>
      <c r="D220" s="311">
        <v>2.3E-2</v>
      </c>
      <c r="E220" s="23" t="s">
        <v>34</v>
      </c>
      <c r="F220" s="92"/>
      <c r="G220" s="92"/>
      <c r="H220" s="437">
        <f>10.92*D220</f>
        <v>0.251</v>
      </c>
      <c r="I220" s="437">
        <f>4.28*D220</f>
        <v>9.8000000000000004E-2</v>
      </c>
      <c r="J220" s="92"/>
      <c r="K220" s="92"/>
      <c r="L220" s="92"/>
      <c r="M220" s="92"/>
      <c r="N220" s="122"/>
      <c r="O220" s="123">
        <f t="shared" si="186"/>
        <v>0.35</v>
      </c>
      <c r="P220" s="188"/>
      <c r="Q220" s="106"/>
      <c r="R220" s="69"/>
      <c r="S220" s="70"/>
      <c r="T220" s="71"/>
      <c r="U220" s="69"/>
      <c r="V220" s="200"/>
      <c r="X220" s="60"/>
    </row>
    <row r="221" spans="1:24" s="59" customFormat="1" ht="31.5" customHeight="1" outlineLevel="1">
      <c r="A221" s="66" t="s">
        <v>233</v>
      </c>
      <c r="B221" s="202"/>
      <c r="C221" s="231" t="s">
        <v>354</v>
      </c>
      <c r="D221" s="313"/>
      <c r="E221" s="132" t="s">
        <v>4</v>
      </c>
      <c r="F221" s="417">
        <f>F222</f>
        <v>28.67</v>
      </c>
      <c r="G221" s="417">
        <f>G222</f>
        <v>60.32</v>
      </c>
      <c r="H221" s="417">
        <f>H222</f>
        <v>52.09</v>
      </c>
      <c r="I221" s="417">
        <f>I222</f>
        <v>53.78</v>
      </c>
      <c r="J221" s="193"/>
      <c r="K221" s="193"/>
      <c r="L221" s="192"/>
      <c r="M221" s="192"/>
      <c r="N221" s="122"/>
      <c r="O221" s="123">
        <f t="shared" ref="O221:O222" si="191">SUM(F221:N221)</f>
        <v>194.86</v>
      </c>
      <c r="P221" s="182">
        <f>P222*O222/O221</f>
        <v>0</v>
      </c>
      <c r="Q221" s="183"/>
      <c r="R221" s="184">
        <f t="shared" ref="R221" si="192">P221+Q221</f>
        <v>0</v>
      </c>
      <c r="S221" s="182">
        <f>O221*P221</f>
        <v>0</v>
      </c>
      <c r="T221" s="185">
        <f>O221*Q221</f>
        <v>0</v>
      </c>
      <c r="U221" s="184">
        <f>S221+T221</f>
        <v>0</v>
      </c>
      <c r="V221" s="200"/>
      <c r="X221" s="60"/>
    </row>
    <row r="222" spans="1:24" s="59" customFormat="1" ht="42.75" customHeight="1" outlineLevel="1">
      <c r="A222" s="66" t="s">
        <v>236</v>
      </c>
      <c r="B222" s="203">
        <v>4100017642</v>
      </c>
      <c r="C222" s="157" t="s">
        <v>108</v>
      </c>
      <c r="D222" s="314"/>
      <c r="E222" s="116" t="s">
        <v>4</v>
      </c>
      <c r="F222" s="414">
        <v>28.67</v>
      </c>
      <c r="G222" s="414">
        <v>60.32</v>
      </c>
      <c r="H222" s="414">
        <v>52.09</v>
      </c>
      <c r="I222" s="414">
        <v>53.78</v>
      </c>
      <c r="J222" s="192"/>
      <c r="K222" s="192"/>
      <c r="L222" s="192"/>
      <c r="M222" s="192"/>
      <c r="N222" s="122"/>
      <c r="O222" s="123">
        <f t="shared" si="191"/>
        <v>194.86</v>
      </c>
      <c r="P222" s="186"/>
      <c r="Q222" s="187"/>
      <c r="R222" s="184"/>
      <c r="S222" s="182"/>
      <c r="T222" s="185"/>
      <c r="U222" s="184"/>
      <c r="V222" s="397" t="s">
        <v>405</v>
      </c>
      <c r="X222" s="60"/>
    </row>
    <row r="223" spans="1:24" s="59" customFormat="1" ht="44.25" customHeight="1" outlineLevel="1">
      <c r="A223" s="66" t="s">
        <v>237</v>
      </c>
      <c r="B223" s="202"/>
      <c r="C223" s="90" t="s">
        <v>143</v>
      </c>
      <c r="D223" s="315"/>
      <c r="E223" s="107" t="s">
        <v>4</v>
      </c>
      <c r="F223" s="102">
        <v>319</v>
      </c>
      <c r="G223" s="102">
        <v>228.75</v>
      </c>
      <c r="H223" s="102">
        <v>102.79</v>
      </c>
      <c r="I223" s="102">
        <v>103.92</v>
      </c>
      <c r="J223" s="18"/>
      <c r="K223" s="18"/>
      <c r="L223" s="18"/>
      <c r="M223" s="18"/>
      <c r="N223" s="114"/>
      <c r="O223" s="190">
        <f t="shared" si="186"/>
        <v>754.46</v>
      </c>
      <c r="P223" s="182">
        <f>(SUMPRODUCT(O224:O228,P224:P228)/O223)</f>
        <v>0</v>
      </c>
      <c r="Q223" s="183"/>
      <c r="R223" s="184">
        <f t="shared" ref="R223" si="193">P223+Q223</f>
        <v>0</v>
      </c>
      <c r="S223" s="182">
        <f t="shared" ref="S223" si="194">O223*P223</f>
        <v>0</v>
      </c>
      <c r="T223" s="185">
        <f t="shared" ref="T223" si="195">O223*Q223</f>
        <v>0</v>
      </c>
      <c r="U223" s="184">
        <f t="shared" ref="U223" si="196">S223+T223</f>
        <v>0</v>
      </c>
      <c r="V223" s="200"/>
      <c r="X223" s="60"/>
    </row>
    <row r="224" spans="1:24" s="59" customFormat="1" ht="28.5" customHeight="1" outlineLevel="1">
      <c r="A224" s="66" t="s">
        <v>238</v>
      </c>
      <c r="B224" s="204">
        <v>4100027698</v>
      </c>
      <c r="C224" s="194" t="s">
        <v>110</v>
      </c>
      <c r="D224" s="19">
        <v>50.4</v>
      </c>
      <c r="E224" s="19" t="s">
        <v>30</v>
      </c>
      <c r="F224" s="400">
        <v>182</v>
      </c>
      <c r="G224" s="400">
        <v>25</v>
      </c>
      <c r="H224" s="92"/>
      <c r="I224" s="92"/>
      <c r="J224" s="92"/>
      <c r="K224" s="92"/>
      <c r="L224" s="92"/>
      <c r="M224" s="92"/>
      <c r="N224" s="122"/>
      <c r="O224" s="123">
        <f t="shared" si="186"/>
        <v>207</v>
      </c>
      <c r="P224" s="188"/>
      <c r="Q224" s="189"/>
      <c r="R224" s="184"/>
      <c r="S224" s="182"/>
      <c r="T224" s="185"/>
      <c r="U224" s="184"/>
      <c r="V224" s="200"/>
      <c r="X224" s="60"/>
    </row>
    <row r="225" spans="1:24" s="59" customFormat="1" ht="28.5" customHeight="1" outlineLevel="1">
      <c r="A225" s="66" t="s">
        <v>239</v>
      </c>
      <c r="B225" s="204">
        <v>4100025575</v>
      </c>
      <c r="C225" s="194" t="s">
        <v>112</v>
      </c>
      <c r="D225" s="19">
        <v>50.4</v>
      </c>
      <c r="E225" s="19" t="s">
        <v>30</v>
      </c>
      <c r="F225" s="92"/>
      <c r="G225" s="400">
        <v>181</v>
      </c>
      <c r="H225" s="400">
        <v>24</v>
      </c>
      <c r="I225" s="400">
        <v>104</v>
      </c>
      <c r="J225" s="92"/>
      <c r="K225" s="92"/>
      <c r="L225" s="92"/>
      <c r="M225" s="92"/>
      <c r="N225" s="122"/>
      <c r="O225" s="123">
        <f t="shared" si="186"/>
        <v>309</v>
      </c>
      <c r="P225" s="188"/>
      <c r="Q225" s="189"/>
      <c r="R225" s="184"/>
      <c r="S225" s="182"/>
      <c r="T225" s="185"/>
      <c r="U225" s="184"/>
      <c r="V225" s="200"/>
      <c r="X225" s="60"/>
    </row>
    <row r="226" spans="1:24" s="59" customFormat="1" ht="28.5" customHeight="1" outlineLevel="1">
      <c r="A226" s="66" t="s">
        <v>240</v>
      </c>
      <c r="B226" s="204">
        <v>4100025823</v>
      </c>
      <c r="C226" s="194" t="s">
        <v>116</v>
      </c>
      <c r="D226" s="19">
        <v>50.4</v>
      </c>
      <c r="E226" s="19" t="s">
        <v>30</v>
      </c>
      <c r="F226" s="400">
        <v>133</v>
      </c>
      <c r="G226" s="400">
        <v>18</v>
      </c>
      <c r="H226" s="400">
        <v>74</v>
      </c>
      <c r="I226" s="92"/>
      <c r="J226" s="92"/>
      <c r="K226" s="92"/>
      <c r="L226" s="92"/>
      <c r="M226" s="92"/>
      <c r="N226" s="122"/>
      <c r="O226" s="123">
        <f t="shared" si="186"/>
        <v>225</v>
      </c>
      <c r="P226" s="188"/>
      <c r="Q226" s="189"/>
      <c r="R226" s="69"/>
      <c r="S226" s="70"/>
      <c r="T226" s="71"/>
      <c r="U226" s="69"/>
      <c r="V226" s="200"/>
      <c r="X226" s="60"/>
    </row>
    <row r="227" spans="1:24" s="59" customFormat="1" ht="28.5" customHeight="1" outlineLevel="1">
      <c r="A227" s="66" t="s">
        <v>241</v>
      </c>
      <c r="B227" s="204">
        <v>4100027693</v>
      </c>
      <c r="C227" s="194" t="s">
        <v>113</v>
      </c>
      <c r="D227" s="19">
        <v>50.4</v>
      </c>
      <c r="E227" s="19" t="s">
        <v>30</v>
      </c>
      <c r="F227" s="92">
        <v>4.66</v>
      </c>
      <c r="G227" s="92">
        <v>4.66</v>
      </c>
      <c r="H227" s="92">
        <v>4.1500000000000004</v>
      </c>
      <c r="I227" s="92"/>
      <c r="J227" s="92"/>
      <c r="K227" s="92"/>
      <c r="L227" s="92"/>
      <c r="M227" s="92"/>
      <c r="N227" s="122"/>
      <c r="O227" s="123">
        <f t="shared" si="186"/>
        <v>13.47</v>
      </c>
      <c r="P227" s="188"/>
      <c r="Q227" s="189"/>
      <c r="R227" s="69"/>
      <c r="S227" s="70"/>
      <c r="T227" s="71"/>
      <c r="U227" s="69"/>
      <c r="V227" s="200"/>
      <c r="X227" s="60"/>
    </row>
    <row r="228" spans="1:24" s="59" customFormat="1" ht="28.5" customHeight="1" outlineLevel="1">
      <c r="A228" s="66" t="s">
        <v>242</v>
      </c>
      <c r="B228" s="202"/>
      <c r="C228" s="308" t="s">
        <v>32</v>
      </c>
      <c r="D228" s="311">
        <v>51</v>
      </c>
      <c r="E228" s="23" t="s">
        <v>31</v>
      </c>
      <c r="F228" s="92">
        <v>16269</v>
      </c>
      <c r="G228" s="92">
        <v>11666.25</v>
      </c>
      <c r="H228" s="92">
        <v>5242.29</v>
      </c>
      <c r="I228" s="92">
        <v>5299.92</v>
      </c>
      <c r="J228" s="92"/>
      <c r="K228" s="92"/>
      <c r="L228" s="92"/>
      <c r="M228" s="92"/>
      <c r="N228" s="122"/>
      <c r="O228" s="123">
        <f t="shared" si="186"/>
        <v>38477.46</v>
      </c>
      <c r="P228" s="188"/>
      <c r="Q228" s="189"/>
      <c r="R228" s="69"/>
      <c r="S228" s="70"/>
      <c r="T228" s="71"/>
      <c r="U228" s="69"/>
      <c r="V228" s="200"/>
      <c r="X228" s="60"/>
    </row>
    <row r="229" spans="1:24" s="59" customFormat="1" ht="42" customHeight="1" outlineLevel="1">
      <c r="A229" s="66" t="s">
        <v>243</v>
      </c>
      <c r="B229" s="205"/>
      <c r="C229" s="90" t="s">
        <v>195</v>
      </c>
      <c r="D229" s="315"/>
      <c r="E229" s="107" t="s">
        <v>4</v>
      </c>
      <c r="F229" s="193">
        <f>F230</f>
        <v>488.11</v>
      </c>
      <c r="G229" s="193">
        <f t="shared" ref="G229:I229" si="197">G230</f>
        <v>870.32</v>
      </c>
      <c r="H229" s="193">
        <f t="shared" si="197"/>
        <v>365.13</v>
      </c>
      <c r="I229" s="193">
        <f t="shared" si="197"/>
        <v>478.56</v>
      </c>
      <c r="J229" s="193"/>
      <c r="K229" s="193"/>
      <c r="L229" s="193"/>
      <c r="M229" s="193"/>
      <c r="N229" s="406"/>
      <c r="O229" s="190">
        <f t="shared" si="186"/>
        <v>2202.12</v>
      </c>
      <c r="P229" s="182">
        <f>(SUMPRODUCT(O230:O235,P230:P235)/O229)</f>
        <v>0</v>
      </c>
      <c r="Q229" s="183"/>
      <c r="R229" s="184">
        <f t="shared" ref="R229" si="198">P229+Q229</f>
        <v>0</v>
      </c>
      <c r="S229" s="182">
        <f t="shared" ref="S229" si="199">O229*P229</f>
        <v>0</v>
      </c>
      <c r="T229" s="185">
        <f t="shared" ref="T229" si="200">O229*Q229</f>
        <v>0</v>
      </c>
      <c r="U229" s="184">
        <f t="shared" ref="U229" si="201">S229+T229</f>
        <v>0</v>
      </c>
      <c r="V229" s="200"/>
      <c r="X229" s="60"/>
    </row>
    <row r="230" spans="1:24" s="59" customFormat="1" ht="29.25" customHeight="1" outlineLevel="1">
      <c r="A230" s="66" t="s">
        <v>244</v>
      </c>
      <c r="B230" s="205"/>
      <c r="C230" s="331" t="s">
        <v>18</v>
      </c>
      <c r="D230" s="265"/>
      <c r="E230" s="265" t="s">
        <v>4</v>
      </c>
      <c r="F230" s="192">
        <f>306.66+85.13+96.32</f>
        <v>488.11</v>
      </c>
      <c r="G230" s="192">
        <f>184.54+685.78</f>
        <v>870.32</v>
      </c>
      <c r="H230" s="192">
        <f>249.12+116.01</f>
        <v>365.13</v>
      </c>
      <c r="I230" s="192">
        <f>459.96+18.6</f>
        <v>478.56</v>
      </c>
      <c r="J230" s="192"/>
      <c r="K230" s="192"/>
      <c r="L230" s="192"/>
      <c r="M230" s="192"/>
      <c r="N230" s="405"/>
      <c r="O230" s="123">
        <f t="shared" si="186"/>
        <v>2202.12</v>
      </c>
      <c r="P230" s="188"/>
      <c r="Q230" s="189"/>
      <c r="R230" s="184"/>
      <c r="S230" s="182"/>
      <c r="T230" s="185"/>
      <c r="U230" s="184"/>
      <c r="V230" s="200"/>
      <c r="X230" s="60"/>
    </row>
    <row r="231" spans="1:24" s="59" customFormat="1" ht="29.25" customHeight="1" outlineLevel="1">
      <c r="A231" s="66" t="s">
        <v>245</v>
      </c>
      <c r="B231" s="253">
        <v>4100027698</v>
      </c>
      <c r="C231" s="248" t="s">
        <v>110</v>
      </c>
      <c r="D231" s="19">
        <v>50.4</v>
      </c>
      <c r="E231" s="19" t="s">
        <v>30</v>
      </c>
      <c r="F231" s="403">
        <f>154.47*D231</f>
        <v>7785</v>
      </c>
      <c r="G231" s="403">
        <f>2.78*D231</f>
        <v>140</v>
      </c>
      <c r="H231" s="403">
        <f>34.92*D231</f>
        <v>1760</v>
      </c>
      <c r="I231" s="403"/>
      <c r="J231" s="403"/>
      <c r="K231" s="192"/>
      <c r="L231" s="192"/>
      <c r="M231" s="192"/>
      <c r="N231" s="405"/>
      <c r="O231" s="123">
        <f t="shared" si="186"/>
        <v>9685</v>
      </c>
      <c r="P231" s="188"/>
      <c r="Q231" s="189"/>
      <c r="R231" s="184"/>
      <c r="S231" s="182"/>
      <c r="T231" s="185"/>
      <c r="U231" s="184"/>
      <c r="V231" s="200"/>
      <c r="X231" s="60"/>
    </row>
    <row r="232" spans="1:24" s="59" customFormat="1" ht="29.25" customHeight="1" outlineLevel="1">
      <c r="A232" s="66" t="s">
        <v>246</v>
      </c>
      <c r="B232" s="253">
        <v>4100025575</v>
      </c>
      <c r="C232" s="248" t="s">
        <v>112</v>
      </c>
      <c r="D232" s="19">
        <v>50.4</v>
      </c>
      <c r="E232" s="19" t="s">
        <v>30</v>
      </c>
      <c r="F232" s="403"/>
      <c r="G232" s="403">
        <f>731.35*D232</f>
        <v>36860</v>
      </c>
      <c r="H232" s="403">
        <f>19.44*D232</f>
        <v>980</v>
      </c>
      <c r="I232" s="403">
        <f>523.56*D232</f>
        <v>26387</v>
      </c>
      <c r="J232" s="403"/>
      <c r="K232" s="192"/>
      <c r="L232" s="192"/>
      <c r="M232" s="192"/>
      <c r="N232" s="405"/>
      <c r="O232" s="123">
        <f t="shared" si="186"/>
        <v>64227</v>
      </c>
      <c r="P232" s="188"/>
      <c r="Q232" s="189"/>
      <c r="R232" s="69"/>
      <c r="S232" s="70"/>
      <c r="T232" s="71"/>
      <c r="U232" s="69"/>
      <c r="V232" s="200"/>
      <c r="X232" s="60"/>
    </row>
    <row r="233" spans="1:24" s="59" customFormat="1" ht="29.25" customHeight="1" outlineLevel="1">
      <c r="A233" s="66" t="s">
        <v>247</v>
      </c>
      <c r="B233" s="253">
        <v>4100025823</v>
      </c>
      <c r="C233" s="248" t="s">
        <v>116</v>
      </c>
      <c r="D233" s="19">
        <v>50.4</v>
      </c>
      <c r="E233" s="19" t="s">
        <v>30</v>
      </c>
      <c r="F233" s="403">
        <f>(196.38+96.32)*D233</f>
        <v>14752</v>
      </c>
      <c r="G233" s="403">
        <f>2.34*D233</f>
        <v>118</v>
      </c>
      <c r="H233" s="403">
        <f>241.26*D233</f>
        <v>12160</v>
      </c>
      <c r="I233" s="403"/>
      <c r="J233" s="403"/>
      <c r="K233" s="192"/>
      <c r="L233" s="192"/>
      <c r="M233" s="192"/>
      <c r="N233" s="405"/>
      <c r="O233" s="123">
        <f t="shared" si="186"/>
        <v>27030</v>
      </c>
      <c r="P233" s="188"/>
      <c r="Q233" s="189"/>
      <c r="R233" s="69"/>
      <c r="S233" s="70"/>
      <c r="T233" s="71"/>
      <c r="U233" s="69"/>
      <c r="V233" s="200"/>
      <c r="X233" s="60"/>
    </row>
    <row r="234" spans="1:24" s="59" customFormat="1" ht="29.25" customHeight="1" outlineLevel="1">
      <c r="A234" s="66" t="s">
        <v>248</v>
      </c>
      <c r="B234" s="253">
        <v>4100027693</v>
      </c>
      <c r="C234" s="248" t="s">
        <v>113</v>
      </c>
      <c r="D234" s="19">
        <v>50.4</v>
      </c>
      <c r="E234" s="19" t="s">
        <v>30</v>
      </c>
      <c r="F234" s="403">
        <f>84.57*D234</f>
        <v>4262</v>
      </c>
      <c r="G234" s="403">
        <f>222.55*D234</f>
        <v>11217</v>
      </c>
      <c r="H234" s="403">
        <f>115.99*D234</f>
        <v>5846</v>
      </c>
      <c r="I234" s="403">
        <f>20.81*D234</f>
        <v>1049</v>
      </c>
      <c r="J234" s="403"/>
      <c r="K234" s="192"/>
      <c r="L234" s="192"/>
      <c r="M234" s="192"/>
      <c r="N234" s="405"/>
      <c r="O234" s="123">
        <f t="shared" si="186"/>
        <v>22374</v>
      </c>
      <c r="P234" s="188"/>
      <c r="Q234" s="189"/>
      <c r="R234" s="69"/>
      <c r="S234" s="70"/>
      <c r="T234" s="71"/>
      <c r="U234" s="69"/>
      <c r="V234" s="200"/>
      <c r="X234" s="60"/>
    </row>
    <row r="235" spans="1:24" s="59" customFormat="1" ht="37.5" customHeight="1" outlineLevel="1">
      <c r="A235" s="66" t="s">
        <v>249</v>
      </c>
      <c r="B235" s="205"/>
      <c r="C235" s="307" t="s">
        <v>32</v>
      </c>
      <c r="D235" s="249">
        <v>51</v>
      </c>
      <c r="E235" s="256" t="s">
        <v>31</v>
      </c>
      <c r="F235" s="192">
        <f>(435.42+96.32)*D235</f>
        <v>27118.74</v>
      </c>
      <c r="G235" s="192">
        <f>959.02*D235</f>
        <v>48910.02</v>
      </c>
      <c r="H235" s="192">
        <f>411.61*D235</f>
        <v>20992.11</v>
      </c>
      <c r="I235" s="192">
        <f>544.37*D235</f>
        <v>27762.87</v>
      </c>
      <c r="J235" s="192"/>
      <c r="K235" s="192"/>
      <c r="L235" s="192"/>
      <c r="M235" s="192"/>
      <c r="N235" s="405"/>
      <c r="O235" s="123">
        <f t="shared" si="186"/>
        <v>124783.74</v>
      </c>
      <c r="P235" s="188"/>
      <c r="Q235" s="106"/>
      <c r="R235" s="69"/>
      <c r="S235" s="70"/>
      <c r="T235" s="71"/>
      <c r="U235" s="69"/>
      <c r="V235" s="200" t="s">
        <v>426</v>
      </c>
      <c r="X235" s="60"/>
    </row>
    <row r="236" spans="1:24" s="59" customFormat="1" ht="40.5" customHeight="1" outlineLevel="1">
      <c r="A236" s="66" t="s">
        <v>250</v>
      </c>
      <c r="B236" s="205"/>
      <c r="C236" s="90" t="s">
        <v>424</v>
      </c>
      <c r="D236" s="315"/>
      <c r="E236" s="107" t="s">
        <v>4</v>
      </c>
      <c r="F236" s="193">
        <f>F237</f>
        <v>11.38</v>
      </c>
      <c r="G236" s="193"/>
      <c r="H236" s="193">
        <f>H237</f>
        <v>13.47</v>
      </c>
      <c r="I236" s="193"/>
      <c r="J236" s="193"/>
      <c r="K236" s="193"/>
      <c r="L236" s="193"/>
      <c r="M236" s="193"/>
      <c r="N236" s="406"/>
      <c r="O236" s="190">
        <f t="shared" si="186"/>
        <v>24.85</v>
      </c>
      <c r="P236" s="182">
        <f>(SUMPRODUCT(O237:O240,P237:P240)/O236)</f>
        <v>0</v>
      </c>
      <c r="Q236" s="183"/>
      <c r="R236" s="184">
        <f t="shared" ref="R236" si="202">P236+Q236</f>
        <v>0</v>
      </c>
      <c r="S236" s="182">
        <f t="shared" ref="S236" si="203">O236*P236</f>
        <v>0</v>
      </c>
      <c r="T236" s="185">
        <f t="shared" ref="T236" si="204">O236*Q236</f>
        <v>0</v>
      </c>
      <c r="U236" s="184">
        <f t="shared" ref="U236" si="205">S236+T236</f>
        <v>0</v>
      </c>
      <c r="V236" s="200" t="s">
        <v>426</v>
      </c>
      <c r="X236" s="60"/>
    </row>
    <row r="237" spans="1:24" s="59" customFormat="1" ht="30.75" customHeight="1" outlineLevel="1">
      <c r="A237" s="66" t="s">
        <v>251</v>
      </c>
      <c r="B237" s="205"/>
      <c r="C237" s="309" t="s">
        <v>18</v>
      </c>
      <c r="D237" s="265"/>
      <c r="E237" s="265" t="s">
        <v>4</v>
      </c>
      <c r="F237" s="192">
        <f>11.38</f>
        <v>11.38</v>
      </c>
      <c r="G237" s="192"/>
      <c r="H237" s="192">
        <v>13.47</v>
      </c>
      <c r="I237" s="192"/>
      <c r="J237" s="192"/>
      <c r="K237" s="238"/>
      <c r="L237" s="238"/>
      <c r="M237" s="238"/>
      <c r="N237" s="237"/>
      <c r="O237" s="123">
        <f t="shared" si="186"/>
        <v>24.85</v>
      </c>
      <c r="P237" s="188"/>
      <c r="Q237" s="189"/>
      <c r="R237" s="184"/>
      <c r="S237" s="182"/>
      <c r="T237" s="185"/>
      <c r="U237" s="184"/>
      <c r="V237" s="200"/>
      <c r="X237" s="60"/>
    </row>
    <row r="238" spans="1:24" s="59" customFormat="1" ht="30.75" customHeight="1" outlineLevel="1">
      <c r="A238" s="66" t="s">
        <v>252</v>
      </c>
      <c r="B238" s="205"/>
      <c r="C238" s="309" t="s">
        <v>17</v>
      </c>
      <c r="D238" s="316"/>
      <c r="E238" s="265" t="s">
        <v>4</v>
      </c>
      <c r="F238" s="192">
        <f>11.38</f>
        <v>11.38</v>
      </c>
      <c r="G238" s="192"/>
      <c r="H238" s="192">
        <v>13.47</v>
      </c>
      <c r="I238" s="192"/>
      <c r="J238" s="192"/>
      <c r="K238" s="238"/>
      <c r="L238" s="238"/>
      <c r="M238" s="238"/>
      <c r="N238" s="237"/>
      <c r="O238" s="123">
        <f t="shared" si="186"/>
        <v>24.85</v>
      </c>
      <c r="P238" s="188"/>
      <c r="Q238" s="189"/>
      <c r="R238" s="184"/>
      <c r="S238" s="182"/>
      <c r="T238" s="185"/>
      <c r="U238" s="184"/>
      <c r="V238" s="200"/>
      <c r="X238" s="60"/>
    </row>
    <row r="239" spans="1:24" s="59" customFormat="1" ht="30.75" customHeight="1" outlineLevel="1">
      <c r="A239" s="66" t="s">
        <v>253</v>
      </c>
      <c r="B239" s="253">
        <v>4100027693</v>
      </c>
      <c r="C239" s="194" t="s">
        <v>113</v>
      </c>
      <c r="D239" s="19">
        <v>50.4</v>
      </c>
      <c r="E239" s="19" t="s">
        <v>30</v>
      </c>
      <c r="F239" s="403">
        <f>11.38*D239</f>
        <v>574</v>
      </c>
      <c r="G239" s="403"/>
      <c r="H239" s="403">
        <f>13.47*D239</f>
        <v>679</v>
      </c>
      <c r="I239" s="192"/>
      <c r="J239" s="192"/>
      <c r="K239" s="238"/>
      <c r="L239" s="238"/>
      <c r="M239" s="238"/>
      <c r="N239" s="237"/>
      <c r="O239" s="123">
        <f t="shared" si="186"/>
        <v>1253</v>
      </c>
      <c r="P239" s="188"/>
      <c r="Q239" s="189"/>
      <c r="R239" s="69"/>
      <c r="S239" s="70"/>
      <c r="T239" s="71"/>
      <c r="U239" s="69"/>
      <c r="V239" s="200"/>
      <c r="X239" s="60"/>
    </row>
    <row r="240" spans="1:24" s="59" customFormat="1" ht="30.75" customHeight="1" outlineLevel="1">
      <c r="A240" s="66" t="s">
        <v>425</v>
      </c>
      <c r="B240" s="205"/>
      <c r="C240" s="308" t="s">
        <v>32</v>
      </c>
      <c r="D240" s="249">
        <v>51</v>
      </c>
      <c r="E240" s="256" t="s">
        <v>31</v>
      </c>
      <c r="F240" s="192">
        <f>11.38*D240</f>
        <v>580.38</v>
      </c>
      <c r="G240" s="192"/>
      <c r="H240" s="192">
        <f>13.47*D240</f>
        <v>686.97</v>
      </c>
      <c r="I240" s="192"/>
      <c r="J240" s="192"/>
      <c r="K240" s="238"/>
      <c r="L240" s="238"/>
      <c r="M240" s="238"/>
      <c r="N240" s="237"/>
      <c r="O240" s="123">
        <f t="shared" si="186"/>
        <v>1267.3499999999999</v>
      </c>
      <c r="P240" s="188"/>
      <c r="Q240" s="189"/>
      <c r="R240" s="69"/>
      <c r="S240" s="70"/>
      <c r="T240" s="71"/>
      <c r="U240" s="69"/>
      <c r="V240" s="200"/>
      <c r="X240" s="60"/>
    </row>
    <row r="241" spans="1:24" s="59" customFormat="1" ht="47.25" customHeight="1" outlineLevel="1">
      <c r="A241" s="66" t="s">
        <v>254</v>
      </c>
      <c r="B241" s="202"/>
      <c r="C241" s="90" t="s">
        <v>196</v>
      </c>
      <c r="D241" s="315"/>
      <c r="E241" s="107" t="s">
        <v>4</v>
      </c>
      <c r="F241" s="102"/>
      <c r="G241" s="102"/>
      <c r="H241" s="102">
        <v>0.93</v>
      </c>
      <c r="I241" s="102">
        <v>21.93</v>
      </c>
      <c r="J241" s="18"/>
      <c r="K241" s="18"/>
      <c r="L241" s="18"/>
      <c r="M241" s="18"/>
      <c r="N241" s="114"/>
      <c r="O241" s="190">
        <f>SUM(F241:N241)</f>
        <v>22.86</v>
      </c>
      <c r="P241" s="182">
        <f>(SUMPRODUCT(O242:O244,P242:P244)/O241)</f>
        <v>0</v>
      </c>
      <c r="Q241" s="183"/>
      <c r="R241" s="184">
        <f t="shared" ref="R241" si="206">P241+Q241</f>
        <v>0</v>
      </c>
      <c r="S241" s="182">
        <f t="shared" ref="S241" si="207">O241*P241</f>
        <v>0</v>
      </c>
      <c r="T241" s="185">
        <f t="shared" ref="T241" si="208">O241*Q241</f>
        <v>0</v>
      </c>
      <c r="U241" s="184">
        <f t="shared" ref="U241" si="209">S241+T241</f>
        <v>0</v>
      </c>
      <c r="V241" s="200"/>
      <c r="X241" s="60"/>
    </row>
    <row r="242" spans="1:24" s="59" customFormat="1" ht="30.75" customHeight="1" outlineLevel="1">
      <c r="A242" s="66" t="s">
        <v>255</v>
      </c>
      <c r="B242" s="202"/>
      <c r="C242" s="309" t="s">
        <v>17</v>
      </c>
      <c r="D242" s="316"/>
      <c r="E242" s="6" t="s">
        <v>4</v>
      </c>
      <c r="F242" s="92"/>
      <c r="G242" s="92"/>
      <c r="H242" s="92">
        <v>0.93</v>
      </c>
      <c r="I242" s="92">
        <v>21.93</v>
      </c>
      <c r="J242" s="92"/>
      <c r="K242" s="18"/>
      <c r="L242" s="18"/>
      <c r="M242" s="18"/>
      <c r="N242" s="114"/>
      <c r="O242" s="123">
        <f t="shared" si="186"/>
        <v>22.86</v>
      </c>
      <c r="P242" s="188"/>
      <c r="Q242" s="189"/>
      <c r="R242" s="184"/>
      <c r="S242" s="182"/>
      <c r="T242" s="185"/>
      <c r="U242" s="184"/>
      <c r="V242" s="200"/>
      <c r="X242" s="60"/>
    </row>
    <row r="243" spans="1:24" s="59" customFormat="1" ht="30.75" customHeight="1" outlineLevel="1">
      <c r="A243" s="66" t="s">
        <v>256</v>
      </c>
      <c r="B243" s="204">
        <v>4100025575</v>
      </c>
      <c r="C243" s="194" t="s">
        <v>117</v>
      </c>
      <c r="D243" s="329">
        <v>54</v>
      </c>
      <c r="E243" s="19" t="s">
        <v>30</v>
      </c>
      <c r="F243" s="92"/>
      <c r="G243" s="92"/>
      <c r="H243" s="400">
        <f>0.93*D243</f>
        <v>50</v>
      </c>
      <c r="I243" s="400">
        <v>1184</v>
      </c>
      <c r="J243" s="92"/>
      <c r="K243" s="18"/>
      <c r="L243" s="18"/>
      <c r="M243" s="18"/>
      <c r="N243" s="114"/>
      <c r="O243" s="123">
        <f t="shared" si="186"/>
        <v>1234</v>
      </c>
      <c r="P243" s="188"/>
      <c r="Q243" s="189"/>
      <c r="R243" s="69"/>
      <c r="S243" s="70"/>
      <c r="T243" s="71"/>
      <c r="U243" s="69"/>
      <c r="V243" s="200"/>
      <c r="X243" s="60"/>
    </row>
    <row r="244" spans="1:24" s="59" customFormat="1" ht="30.75" customHeight="1" outlineLevel="1">
      <c r="A244" s="66" t="s">
        <v>257</v>
      </c>
      <c r="B244" s="202"/>
      <c r="C244" s="308" t="s">
        <v>32</v>
      </c>
      <c r="D244" s="249">
        <v>55</v>
      </c>
      <c r="E244" s="23" t="s">
        <v>31</v>
      </c>
      <c r="F244" s="92"/>
      <c r="G244" s="92"/>
      <c r="H244" s="92">
        <f>0.93*D244</f>
        <v>51.15</v>
      </c>
      <c r="I244" s="92">
        <f>21.93*D244</f>
        <v>1206.1500000000001</v>
      </c>
      <c r="J244" s="92"/>
      <c r="K244" s="18"/>
      <c r="L244" s="18"/>
      <c r="M244" s="18"/>
      <c r="N244" s="114"/>
      <c r="O244" s="123">
        <f t="shared" si="186"/>
        <v>1257.3</v>
      </c>
      <c r="P244" s="188"/>
      <c r="Q244" s="106"/>
      <c r="R244" s="69"/>
      <c r="S244" s="70"/>
      <c r="T244" s="71"/>
      <c r="U244" s="69"/>
      <c r="V244" s="200"/>
      <c r="X244" s="60"/>
    </row>
    <row r="245" spans="1:24" s="59" customFormat="1" ht="48.75" customHeight="1" outlineLevel="1">
      <c r="A245" s="66" t="s">
        <v>258</v>
      </c>
      <c r="B245" s="202"/>
      <c r="C245" s="90" t="s">
        <v>197</v>
      </c>
      <c r="D245" s="315"/>
      <c r="E245" s="107" t="s">
        <v>4</v>
      </c>
      <c r="F245" s="102">
        <v>121.38</v>
      </c>
      <c r="G245" s="102">
        <v>154.38999999999999</v>
      </c>
      <c r="H245" s="102">
        <v>175.71</v>
      </c>
      <c r="I245" s="102">
        <v>127.27</v>
      </c>
      <c r="J245" s="18"/>
      <c r="K245" s="18"/>
      <c r="L245" s="18"/>
      <c r="M245" s="18"/>
      <c r="N245" s="114"/>
      <c r="O245" s="190">
        <f t="shared" si="186"/>
        <v>578.75</v>
      </c>
      <c r="P245" s="182">
        <f>(SUMPRODUCT(O246:O251,P246:P251)/O245)</f>
        <v>0</v>
      </c>
      <c r="Q245" s="183"/>
      <c r="R245" s="184">
        <f t="shared" ref="R245" si="210">P245+Q245</f>
        <v>0</v>
      </c>
      <c r="S245" s="182">
        <f t="shared" ref="S245" si="211">O245*P245</f>
        <v>0</v>
      </c>
      <c r="T245" s="185">
        <f t="shared" ref="T245" si="212">O245*Q245</f>
        <v>0</v>
      </c>
      <c r="U245" s="184">
        <f t="shared" ref="U245" si="213">S245+T245</f>
        <v>0</v>
      </c>
      <c r="V245" s="200"/>
      <c r="X245" s="60"/>
    </row>
    <row r="246" spans="1:24" s="59" customFormat="1" ht="33.75" customHeight="1" outlineLevel="1">
      <c r="A246" s="66" t="s">
        <v>259</v>
      </c>
      <c r="B246" s="202"/>
      <c r="C246" s="309" t="s">
        <v>18</v>
      </c>
      <c r="D246" s="265"/>
      <c r="E246" s="11" t="s">
        <v>4</v>
      </c>
      <c r="F246" s="92">
        <v>121.38</v>
      </c>
      <c r="G246" s="92">
        <v>154.38999999999999</v>
      </c>
      <c r="H246" s="92">
        <v>175.71</v>
      </c>
      <c r="I246" s="92">
        <v>127.27</v>
      </c>
      <c r="J246" s="92"/>
      <c r="K246" s="92"/>
      <c r="L246" s="92"/>
      <c r="M246" s="92"/>
      <c r="N246" s="122"/>
      <c r="O246" s="123">
        <f t="shared" si="186"/>
        <v>578.75</v>
      </c>
      <c r="P246" s="188"/>
      <c r="Q246" s="189"/>
      <c r="R246" s="184"/>
      <c r="S246" s="182"/>
      <c r="T246" s="185"/>
      <c r="U246" s="184"/>
      <c r="V246" s="200"/>
      <c r="X246" s="60"/>
    </row>
    <row r="247" spans="1:24" s="59" customFormat="1" ht="33.75" customHeight="1" outlineLevel="1">
      <c r="A247" s="66" t="s">
        <v>260</v>
      </c>
      <c r="B247" s="202"/>
      <c r="C247" s="309" t="s">
        <v>17</v>
      </c>
      <c r="D247" s="316"/>
      <c r="E247" s="6" t="s">
        <v>4</v>
      </c>
      <c r="F247" s="92">
        <v>124.47</v>
      </c>
      <c r="G247" s="92">
        <v>164.53</v>
      </c>
      <c r="H247" s="92">
        <v>181.7</v>
      </c>
      <c r="I247" s="92">
        <v>135.79</v>
      </c>
      <c r="J247" s="92"/>
      <c r="K247" s="92"/>
      <c r="L247" s="92"/>
      <c r="M247" s="92"/>
      <c r="N247" s="122"/>
      <c r="O247" s="123">
        <f t="shared" si="186"/>
        <v>606.49</v>
      </c>
      <c r="P247" s="188"/>
      <c r="Q247" s="189"/>
      <c r="R247" s="184"/>
      <c r="S247" s="182"/>
      <c r="T247" s="185"/>
      <c r="U247" s="184"/>
      <c r="V247" s="200"/>
      <c r="X247" s="60"/>
    </row>
    <row r="248" spans="1:24" s="59" customFormat="1" ht="37.5" customHeight="1" outlineLevel="1">
      <c r="A248" s="66" t="s">
        <v>436</v>
      </c>
      <c r="B248" s="204">
        <v>4100025575</v>
      </c>
      <c r="C248" s="194" t="s">
        <v>117</v>
      </c>
      <c r="D248" s="329">
        <v>54</v>
      </c>
      <c r="E248" s="19" t="s">
        <v>30</v>
      </c>
      <c r="F248" s="92"/>
      <c r="G248" s="400">
        <f>156.57*D248</f>
        <v>8455</v>
      </c>
      <c r="H248" s="400">
        <f>7.58*D248</f>
        <v>409</v>
      </c>
      <c r="I248" s="400">
        <f>135.79*D248</f>
        <v>7333</v>
      </c>
      <c r="J248" s="92"/>
      <c r="K248" s="92"/>
      <c r="L248" s="92"/>
      <c r="M248" s="92"/>
      <c r="N248" s="122"/>
      <c r="O248" s="123">
        <f t="shared" si="186"/>
        <v>16197</v>
      </c>
      <c r="P248" s="188"/>
      <c r="Q248" s="189"/>
      <c r="R248" s="69"/>
      <c r="S248" s="70"/>
      <c r="T248" s="71"/>
      <c r="U248" s="69"/>
      <c r="V248" s="200"/>
      <c r="X248" s="60"/>
    </row>
    <row r="249" spans="1:24" s="59" customFormat="1" ht="37.5" customHeight="1" outlineLevel="1">
      <c r="A249" s="66" t="s">
        <v>437</v>
      </c>
      <c r="B249" s="204">
        <v>4100025823</v>
      </c>
      <c r="C249" s="194" t="s">
        <v>116</v>
      </c>
      <c r="D249" s="19">
        <v>50.4</v>
      </c>
      <c r="E249" s="19" t="s">
        <v>30</v>
      </c>
      <c r="F249" s="400">
        <f>124.47*D249</f>
        <v>6273</v>
      </c>
      <c r="G249" s="400">
        <f>7.96*D249</f>
        <v>401</v>
      </c>
      <c r="H249" s="400">
        <f>174.12*D249</f>
        <v>8776</v>
      </c>
      <c r="I249" s="92"/>
      <c r="J249" s="92"/>
      <c r="K249" s="92"/>
      <c r="L249" s="92"/>
      <c r="M249" s="92"/>
      <c r="N249" s="122"/>
      <c r="O249" s="123">
        <f t="shared" si="186"/>
        <v>15450</v>
      </c>
      <c r="P249" s="188"/>
      <c r="Q249" s="189"/>
      <c r="R249" s="69"/>
      <c r="S249" s="70"/>
      <c r="T249" s="71"/>
      <c r="U249" s="69"/>
      <c r="V249" s="200"/>
      <c r="X249" s="60"/>
    </row>
    <row r="250" spans="1:24" s="59" customFormat="1" ht="37.5" customHeight="1" outlineLevel="1">
      <c r="A250" s="66" t="s">
        <v>438</v>
      </c>
      <c r="B250" s="202"/>
      <c r="C250" s="308" t="s">
        <v>32</v>
      </c>
      <c r="D250" s="249">
        <v>51</v>
      </c>
      <c r="E250" s="23" t="s">
        <v>31</v>
      </c>
      <c r="F250" s="249">
        <f>124.47*D250</f>
        <v>6347.97</v>
      </c>
      <c r="G250" s="249">
        <f>7.96*D250</f>
        <v>405.96</v>
      </c>
      <c r="H250" s="92">
        <f>174.12*D250</f>
        <v>8880.1200000000008</v>
      </c>
      <c r="I250" s="92"/>
      <c r="J250" s="92"/>
      <c r="K250" s="92"/>
      <c r="L250" s="92"/>
      <c r="M250" s="92"/>
      <c r="N250" s="122"/>
      <c r="O250" s="123">
        <f t="shared" ref="O250:O266" si="214">SUM(F250:N250)</f>
        <v>15634.05</v>
      </c>
      <c r="P250" s="188"/>
      <c r="Q250" s="189"/>
      <c r="R250" s="69"/>
      <c r="S250" s="70"/>
      <c r="T250" s="71"/>
      <c r="U250" s="69"/>
      <c r="V250" s="200"/>
      <c r="X250" s="60"/>
    </row>
    <row r="251" spans="1:24" s="59" customFormat="1" ht="37.5" customHeight="1" outlineLevel="1">
      <c r="A251" s="66" t="s">
        <v>439</v>
      </c>
      <c r="B251" s="202"/>
      <c r="C251" s="308" t="s">
        <v>32</v>
      </c>
      <c r="D251" s="249">
        <v>55</v>
      </c>
      <c r="E251" s="23" t="s">
        <v>31</v>
      </c>
      <c r="F251" s="249"/>
      <c r="G251" s="249">
        <f>156.57*D251</f>
        <v>8611.35</v>
      </c>
      <c r="H251" s="92">
        <f>7.58*D251</f>
        <v>416.9</v>
      </c>
      <c r="I251" s="92">
        <f>135.79*D251</f>
        <v>7468.45</v>
      </c>
      <c r="J251" s="17"/>
      <c r="K251" s="17"/>
      <c r="L251" s="17"/>
      <c r="M251" s="92"/>
      <c r="N251" s="122"/>
      <c r="O251" s="123">
        <f t="shared" si="214"/>
        <v>16496.7</v>
      </c>
      <c r="P251" s="188"/>
      <c r="Q251" s="106"/>
      <c r="R251" s="69"/>
      <c r="S251" s="70"/>
      <c r="T251" s="71"/>
      <c r="U251" s="69"/>
      <c r="V251" s="200"/>
      <c r="X251" s="60"/>
    </row>
    <row r="252" spans="1:24" s="59" customFormat="1" ht="33.75" customHeight="1" outlineLevel="1">
      <c r="A252" s="66" t="s">
        <v>261</v>
      </c>
      <c r="B252" s="202"/>
      <c r="C252" s="117" t="s">
        <v>198</v>
      </c>
      <c r="D252" s="333"/>
      <c r="E252" s="250" t="s">
        <v>4</v>
      </c>
      <c r="F252" s="251"/>
      <c r="G252" s="251">
        <f>145.93*0.21</f>
        <v>30.65</v>
      </c>
      <c r="H252" s="120"/>
      <c r="I252" s="120"/>
      <c r="J252" s="120"/>
      <c r="K252" s="120"/>
      <c r="L252" s="120"/>
      <c r="M252" s="102"/>
      <c r="N252" s="121"/>
      <c r="O252" s="190">
        <f t="shared" si="214"/>
        <v>30.65</v>
      </c>
      <c r="P252" s="182">
        <f>(SUMPRODUCT(O253:O254,P253:P254)/O252)</f>
        <v>0</v>
      </c>
      <c r="Q252" s="183"/>
      <c r="R252" s="184">
        <f t="shared" ref="R252" si="215">P252+Q252</f>
        <v>0</v>
      </c>
      <c r="S252" s="182">
        <f t="shared" ref="S252" si="216">O252*P252</f>
        <v>0</v>
      </c>
      <c r="T252" s="185">
        <f t="shared" ref="T252" si="217">O252*Q252</f>
        <v>0</v>
      </c>
      <c r="U252" s="184">
        <f t="shared" ref="U252" si="218">S252+T252</f>
        <v>0</v>
      </c>
      <c r="V252" s="200" t="s">
        <v>404</v>
      </c>
      <c r="X252" s="60"/>
    </row>
    <row r="253" spans="1:24" s="59" customFormat="1" ht="33.75" customHeight="1" outlineLevel="1">
      <c r="A253" s="66" t="s">
        <v>263</v>
      </c>
      <c r="B253" s="204">
        <v>4100025575</v>
      </c>
      <c r="C253" s="194" t="s">
        <v>355</v>
      </c>
      <c r="D253" s="333">
        <v>50.4</v>
      </c>
      <c r="E253" s="19" t="s">
        <v>30</v>
      </c>
      <c r="F253" s="249"/>
      <c r="G253" s="402">
        <f>(145.93*0.21)*D253</f>
        <v>1545</v>
      </c>
      <c r="H253" s="17"/>
      <c r="I253" s="17"/>
      <c r="J253" s="17"/>
      <c r="K253" s="17"/>
      <c r="L253" s="17"/>
      <c r="M253" s="92"/>
      <c r="N253" s="122"/>
      <c r="O253" s="123">
        <f t="shared" si="214"/>
        <v>1545</v>
      </c>
      <c r="P253" s="188"/>
      <c r="Q253" s="189"/>
      <c r="R253" s="184"/>
      <c r="S253" s="182"/>
      <c r="T253" s="185"/>
      <c r="U253" s="184"/>
      <c r="V253" s="200"/>
      <c r="X253" s="60"/>
    </row>
    <row r="254" spans="1:24" s="59" customFormat="1" ht="33.75" customHeight="1" outlineLevel="1">
      <c r="A254" s="66" t="s">
        <v>264</v>
      </c>
      <c r="B254" s="202"/>
      <c r="C254" s="308" t="s">
        <v>128</v>
      </c>
      <c r="D254" s="249">
        <v>51</v>
      </c>
      <c r="E254" s="23" t="s">
        <v>31</v>
      </c>
      <c r="F254" s="122"/>
      <c r="G254" s="249">
        <f>(145.93*0.21)*D254</f>
        <v>1562.91</v>
      </c>
      <c r="H254" s="17"/>
      <c r="I254" s="17"/>
      <c r="J254" s="17"/>
      <c r="K254" s="17"/>
      <c r="L254" s="17"/>
      <c r="M254" s="92"/>
      <c r="N254" s="122"/>
      <c r="O254" s="123">
        <f t="shared" si="214"/>
        <v>1562.91</v>
      </c>
      <c r="P254" s="188"/>
      <c r="Q254" s="189"/>
      <c r="R254" s="69"/>
      <c r="S254" s="70"/>
      <c r="T254" s="71"/>
      <c r="U254" s="69"/>
      <c r="V254" s="200"/>
      <c r="X254" s="60"/>
    </row>
    <row r="255" spans="1:24" s="59" customFormat="1" ht="47.25" customHeight="1" outlineLevel="1">
      <c r="A255" s="66" t="s">
        <v>262</v>
      </c>
      <c r="B255" s="202"/>
      <c r="C255" s="90" t="s">
        <v>147</v>
      </c>
      <c r="D255" s="315"/>
      <c r="E255" s="107"/>
      <c r="F255" s="121"/>
      <c r="G255" s="120">
        <v>2.11</v>
      </c>
      <c r="H255" s="120"/>
      <c r="I255" s="120"/>
      <c r="J255" s="120"/>
      <c r="K255" s="120"/>
      <c r="L255" s="120"/>
      <c r="M255" s="102"/>
      <c r="N255" s="121"/>
      <c r="O255" s="190">
        <f t="shared" si="214"/>
        <v>2.11</v>
      </c>
      <c r="P255" s="182">
        <f>(SUMPRODUCT(O256:O258,P256:P258)/O255)</f>
        <v>0</v>
      </c>
      <c r="Q255" s="183"/>
      <c r="R255" s="184">
        <f t="shared" ref="R255" si="219">P255+Q255</f>
        <v>0</v>
      </c>
      <c r="S255" s="182">
        <f t="shared" ref="S255" si="220">O255*P255</f>
        <v>0</v>
      </c>
      <c r="T255" s="185">
        <f t="shared" ref="T255" si="221">O255*Q255</f>
        <v>0</v>
      </c>
      <c r="U255" s="184">
        <f t="shared" ref="U255" si="222">S255+T255</f>
        <v>0</v>
      </c>
      <c r="V255" s="200"/>
      <c r="X255" s="60"/>
    </row>
    <row r="256" spans="1:24" s="59" customFormat="1" ht="33.75" customHeight="1" outlineLevel="1">
      <c r="A256" s="66" t="s">
        <v>265</v>
      </c>
      <c r="B256" s="205"/>
      <c r="C256" s="309" t="s">
        <v>17</v>
      </c>
      <c r="D256" s="323"/>
      <c r="E256" s="67" t="s">
        <v>4</v>
      </c>
      <c r="F256" s="237"/>
      <c r="G256" s="185">
        <v>2.11</v>
      </c>
      <c r="H256" s="185"/>
      <c r="I256" s="185"/>
      <c r="J256" s="185"/>
      <c r="K256" s="185"/>
      <c r="L256" s="185"/>
      <c r="M256" s="238"/>
      <c r="N256" s="237"/>
      <c r="O256" s="99">
        <f t="shared" si="214"/>
        <v>2.11</v>
      </c>
      <c r="P256" s="188"/>
      <c r="Q256" s="189"/>
      <c r="R256" s="184"/>
      <c r="S256" s="182"/>
      <c r="T256" s="185"/>
      <c r="U256" s="184"/>
      <c r="V256" s="200"/>
      <c r="X256" s="60"/>
    </row>
    <row r="257" spans="1:24" s="59" customFormat="1" ht="33.75" customHeight="1" outlineLevel="1">
      <c r="A257" s="66" t="s">
        <v>266</v>
      </c>
      <c r="B257" s="204">
        <v>4100025575</v>
      </c>
      <c r="C257" s="194" t="s">
        <v>112</v>
      </c>
      <c r="D257" s="19">
        <v>50.4</v>
      </c>
      <c r="E257" s="19" t="s">
        <v>30</v>
      </c>
      <c r="F257" s="33"/>
      <c r="G257" s="9">
        <f>2.11*D257</f>
        <v>106.34</v>
      </c>
      <c r="H257" s="9"/>
      <c r="I257" s="9"/>
      <c r="J257" s="9"/>
      <c r="K257" s="9"/>
      <c r="L257" s="9"/>
      <c r="M257" s="18"/>
      <c r="N257" s="114"/>
      <c r="O257" s="99">
        <f t="shared" si="214"/>
        <v>106.34</v>
      </c>
      <c r="P257" s="188"/>
      <c r="Q257" s="189"/>
      <c r="R257" s="184"/>
      <c r="S257" s="182"/>
      <c r="T257" s="185"/>
      <c r="U257" s="184"/>
      <c r="V257" s="200"/>
      <c r="X257" s="60"/>
    </row>
    <row r="258" spans="1:24" s="59" customFormat="1" ht="33.75" customHeight="1" outlineLevel="1">
      <c r="A258" s="66" t="s">
        <v>267</v>
      </c>
      <c r="B258" s="253"/>
      <c r="C258" s="308" t="s">
        <v>32</v>
      </c>
      <c r="D258" s="249">
        <v>51</v>
      </c>
      <c r="E258" s="256" t="s">
        <v>31</v>
      </c>
      <c r="F258" s="240"/>
      <c r="G258" s="185">
        <f>D258*2.11</f>
        <v>107.61</v>
      </c>
      <c r="H258" s="185"/>
      <c r="I258" s="185"/>
      <c r="J258" s="185"/>
      <c r="K258" s="185"/>
      <c r="L258" s="185"/>
      <c r="M258" s="238"/>
      <c r="N258" s="237"/>
      <c r="O258" s="99">
        <f t="shared" si="214"/>
        <v>107.61</v>
      </c>
      <c r="P258" s="188"/>
      <c r="Q258" s="252"/>
      <c r="R258" s="241"/>
      <c r="S258" s="242"/>
      <c r="T258" s="243"/>
      <c r="U258" s="241"/>
      <c r="V258" s="200"/>
      <c r="X258" s="60"/>
    </row>
    <row r="259" spans="1:24" s="59" customFormat="1" ht="32.25" customHeight="1" outlineLevel="1">
      <c r="A259" s="66" t="s">
        <v>268</v>
      </c>
      <c r="B259" s="207"/>
      <c r="C259" s="317" t="s">
        <v>148</v>
      </c>
      <c r="D259" s="268"/>
      <c r="E259" s="133" t="s">
        <v>4</v>
      </c>
      <c r="F259" s="119"/>
      <c r="G259" s="120"/>
      <c r="H259" s="120">
        <v>40.39</v>
      </c>
      <c r="I259" s="120"/>
      <c r="J259" s="120"/>
      <c r="K259" s="120"/>
      <c r="L259" s="120"/>
      <c r="M259" s="102"/>
      <c r="N259" s="121"/>
      <c r="O259" s="190">
        <f t="shared" ref="O259:O262" si="223">SUM(F259:N259)</f>
        <v>40.39</v>
      </c>
      <c r="P259" s="182">
        <f>(SUMPRODUCT(O260:O262,P260:P262)/O259)</f>
        <v>0</v>
      </c>
      <c r="Q259" s="183"/>
      <c r="R259" s="184">
        <f t="shared" ref="R259" si="224">P259+Q259</f>
        <v>0</v>
      </c>
      <c r="S259" s="182">
        <f t="shared" ref="S259" si="225">O259*P259</f>
        <v>0</v>
      </c>
      <c r="T259" s="185">
        <f t="shared" ref="T259" si="226">O259*Q259</f>
        <v>0</v>
      </c>
      <c r="U259" s="184">
        <f t="shared" ref="U259" si="227">S259+T259</f>
        <v>0</v>
      </c>
      <c r="V259" s="200"/>
      <c r="X259" s="60"/>
    </row>
    <row r="260" spans="1:24" s="59" customFormat="1" ht="27" customHeight="1" outlineLevel="1">
      <c r="A260" s="66" t="s">
        <v>269</v>
      </c>
      <c r="B260" s="207"/>
      <c r="C260" s="309" t="s">
        <v>18</v>
      </c>
      <c r="D260" s="265"/>
      <c r="E260" s="11" t="s">
        <v>4</v>
      </c>
      <c r="F260" s="16"/>
      <c r="G260" s="17"/>
      <c r="H260" s="17">
        <v>40.39</v>
      </c>
      <c r="I260" s="17"/>
      <c r="J260" s="17"/>
      <c r="K260" s="17"/>
      <c r="L260" s="17"/>
      <c r="M260" s="92"/>
      <c r="N260" s="122"/>
      <c r="O260" s="99">
        <f t="shared" si="223"/>
        <v>40.39</v>
      </c>
      <c r="P260" s="188"/>
      <c r="Q260" s="189"/>
      <c r="R260" s="184"/>
      <c r="S260" s="182"/>
      <c r="T260" s="185"/>
      <c r="U260" s="184"/>
      <c r="V260" s="200"/>
      <c r="X260" s="60"/>
    </row>
    <row r="261" spans="1:24" s="59" customFormat="1" ht="27" customHeight="1" outlineLevel="1">
      <c r="A261" s="66" t="s">
        <v>270</v>
      </c>
      <c r="B261" s="207"/>
      <c r="C261" s="309" t="s">
        <v>17</v>
      </c>
      <c r="D261" s="263"/>
      <c r="E261" s="11" t="s">
        <v>4</v>
      </c>
      <c r="F261" s="16"/>
      <c r="G261" s="17"/>
      <c r="H261" s="17">
        <v>40.39</v>
      </c>
      <c r="I261" s="17"/>
      <c r="J261" s="17"/>
      <c r="K261" s="17"/>
      <c r="L261" s="17"/>
      <c r="M261" s="92"/>
      <c r="N261" s="122"/>
      <c r="O261" s="99">
        <f t="shared" si="223"/>
        <v>40.39</v>
      </c>
      <c r="P261" s="188"/>
      <c r="Q261" s="189"/>
      <c r="R261" s="184"/>
      <c r="S261" s="182"/>
      <c r="T261" s="185"/>
      <c r="U261" s="184"/>
      <c r="V261" s="200"/>
      <c r="X261" s="60"/>
    </row>
    <row r="262" spans="1:24" s="59" customFormat="1" ht="27" customHeight="1" outlineLevel="1">
      <c r="A262" s="66" t="s">
        <v>271</v>
      </c>
      <c r="B262" s="207"/>
      <c r="C262" s="308" t="s">
        <v>130</v>
      </c>
      <c r="D262" s="263"/>
      <c r="E262" s="11" t="s">
        <v>4</v>
      </c>
      <c r="F262" s="16"/>
      <c r="G262" s="17"/>
      <c r="H262" s="17">
        <v>40.39</v>
      </c>
      <c r="I262" s="17"/>
      <c r="J262" s="17"/>
      <c r="K262" s="17"/>
      <c r="L262" s="17"/>
      <c r="M262" s="92"/>
      <c r="N262" s="122"/>
      <c r="O262" s="99">
        <f t="shared" si="223"/>
        <v>40.39</v>
      </c>
      <c r="P262" s="188"/>
      <c r="Q262" s="106"/>
      <c r="R262" s="69"/>
      <c r="S262" s="70"/>
      <c r="T262" s="71"/>
      <c r="U262" s="69"/>
      <c r="V262" s="200"/>
      <c r="X262" s="60"/>
    </row>
    <row r="263" spans="1:24" s="59" customFormat="1" ht="37.5" customHeight="1" outlineLevel="1">
      <c r="A263" s="66" t="s">
        <v>272</v>
      </c>
      <c r="B263" s="207"/>
      <c r="C263" s="229" t="s">
        <v>157</v>
      </c>
      <c r="D263" s="321"/>
      <c r="E263" s="133" t="s">
        <v>4</v>
      </c>
      <c r="F263" s="120">
        <v>12</v>
      </c>
      <c r="G263" s="120"/>
      <c r="H263" s="120"/>
      <c r="I263" s="120"/>
      <c r="J263" s="120"/>
      <c r="K263" s="120"/>
      <c r="L263" s="120"/>
      <c r="M263" s="102"/>
      <c r="N263" s="121"/>
      <c r="O263" s="190">
        <f t="shared" si="214"/>
        <v>12</v>
      </c>
      <c r="P263" s="182">
        <f>(SUMPRODUCT(O264:O266,P264:P266)/O263)</f>
        <v>0</v>
      </c>
      <c r="Q263" s="183"/>
      <c r="R263" s="184">
        <f t="shared" ref="R263" si="228">P263+Q263</f>
        <v>0</v>
      </c>
      <c r="S263" s="182">
        <f t="shared" ref="S263" si="229">O263*P263</f>
        <v>0</v>
      </c>
      <c r="T263" s="185">
        <f t="shared" ref="T263" si="230">O263*Q263</f>
        <v>0</v>
      </c>
      <c r="U263" s="184">
        <f t="shared" ref="U263" si="231">S263+T263</f>
        <v>0</v>
      </c>
      <c r="V263" s="200"/>
      <c r="X263" s="60"/>
    </row>
    <row r="264" spans="1:24" s="59" customFormat="1" ht="30" customHeight="1" outlineLevel="1">
      <c r="A264" s="66" t="s">
        <v>440</v>
      </c>
      <c r="B264" s="207"/>
      <c r="C264" s="308" t="s">
        <v>124</v>
      </c>
      <c r="D264" s="321"/>
      <c r="E264" s="12" t="s">
        <v>121</v>
      </c>
      <c r="F264" s="17">
        <v>10.55</v>
      </c>
      <c r="G264" s="9"/>
      <c r="H264" s="9"/>
      <c r="I264" s="9"/>
      <c r="J264" s="9"/>
      <c r="K264" s="9"/>
      <c r="L264" s="9"/>
      <c r="M264" s="18"/>
      <c r="N264" s="114"/>
      <c r="O264" s="99">
        <f t="shared" si="214"/>
        <v>10.55</v>
      </c>
      <c r="P264" s="188"/>
      <c r="Q264" s="189"/>
      <c r="R264" s="184"/>
      <c r="S264" s="182"/>
      <c r="T264" s="185"/>
      <c r="U264" s="184"/>
      <c r="V264" s="200"/>
      <c r="X264" s="60"/>
    </row>
    <row r="265" spans="1:24" s="59" customFormat="1" ht="30" customHeight="1" outlineLevel="1">
      <c r="A265" s="66" t="s">
        <v>441</v>
      </c>
      <c r="B265" s="207"/>
      <c r="C265" s="236" t="s">
        <v>127</v>
      </c>
      <c r="D265" s="321"/>
      <c r="E265" s="12" t="s">
        <v>4</v>
      </c>
      <c r="F265" s="17">
        <v>5.88</v>
      </c>
      <c r="G265" s="9"/>
      <c r="H265" s="9"/>
      <c r="I265" s="9"/>
      <c r="J265" s="9"/>
      <c r="K265" s="9"/>
      <c r="L265" s="9"/>
      <c r="M265" s="18"/>
      <c r="N265" s="114"/>
      <c r="O265" s="99">
        <f t="shared" si="214"/>
        <v>5.88</v>
      </c>
      <c r="P265" s="188"/>
      <c r="Q265" s="189"/>
      <c r="R265" s="184"/>
      <c r="S265" s="182"/>
      <c r="T265" s="185"/>
      <c r="U265" s="184"/>
      <c r="V265" s="200"/>
      <c r="X265" s="60"/>
    </row>
    <row r="266" spans="1:24" s="59" customFormat="1" ht="30" customHeight="1" outlineLevel="1">
      <c r="A266" s="66" t="s">
        <v>442</v>
      </c>
      <c r="B266" s="207"/>
      <c r="C266" s="236" t="s">
        <v>125</v>
      </c>
      <c r="D266" s="321"/>
      <c r="E266" s="12" t="s">
        <v>4</v>
      </c>
      <c r="F266" s="17">
        <v>12</v>
      </c>
      <c r="G266" s="9"/>
      <c r="H266" s="9"/>
      <c r="I266" s="9"/>
      <c r="J266" s="9"/>
      <c r="K266" s="9"/>
      <c r="L266" s="9"/>
      <c r="M266" s="18"/>
      <c r="N266" s="114"/>
      <c r="O266" s="99">
        <f t="shared" si="214"/>
        <v>12</v>
      </c>
      <c r="P266" s="188"/>
      <c r="Q266" s="252"/>
      <c r="R266" s="241"/>
      <c r="S266" s="242"/>
      <c r="T266" s="243"/>
      <c r="U266" s="241"/>
      <c r="V266" s="200"/>
      <c r="X266" s="60"/>
    </row>
    <row r="267" spans="1:24" s="59" customFormat="1" ht="37.5" customHeight="1" outlineLevel="1">
      <c r="A267" s="66" t="s">
        <v>273</v>
      </c>
      <c r="B267" s="208"/>
      <c r="C267" s="229" t="s">
        <v>119</v>
      </c>
      <c r="D267" s="321"/>
      <c r="E267" s="2" t="s">
        <v>4</v>
      </c>
      <c r="F267" s="33">
        <v>58.05</v>
      </c>
      <c r="G267" s="9">
        <v>74.06</v>
      </c>
      <c r="H267" s="9">
        <v>50.06</v>
      </c>
      <c r="I267" s="9">
        <v>60.89</v>
      </c>
      <c r="J267" s="9"/>
      <c r="K267" s="9"/>
      <c r="L267" s="9"/>
      <c r="M267" s="18"/>
      <c r="N267" s="114"/>
      <c r="O267" s="99">
        <f>SUM(F267:N267)</f>
        <v>243.06</v>
      </c>
      <c r="P267" s="188"/>
      <c r="Q267" s="198"/>
      <c r="R267" s="184">
        <f>P267+Q267</f>
        <v>0</v>
      </c>
      <c r="S267" s="182">
        <f>O267*P267</f>
        <v>0</v>
      </c>
      <c r="T267" s="185">
        <f>O267*Q267</f>
        <v>0</v>
      </c>
      <c r="U267" s="184">
        <f>S267+T267</f>
        <v>0</v>
      </c>
      <c r="V267" s="200"/>
      <c r="X267" s="60"/>
    </row>
    <row r="268" spans="1:24" s="59" customFormat="1" ht="37.5" customHeight="1" outlineLevel="1">
      <c r="A268" s="66" t="s">
        <v>443</v>
      </c>
      <c r="B268" s="209"/>
      <c r="C268" s="229" t="s">
        <v>120</v>
      </c>
      <c r="D268" s="321"/>
      <c r="E268" s="12" t="s">
        <v>121</v>
      </c>
      <c r="F268" s="33">
        <v>87.31</v>
      </c>
      <c r="G268" s="9">
        <v>57.64</v>
      </c>
      <c r="H268" s="9">
        <v>68.2</v>
      </c>
      <c r="I268" s="9">
        <v>53.93</v>
      </c>
      <c r="J268" s="9"/>
      <c r="K268" s="9"/>
      <c r="L268" s="9"/>
      <c r="M268" s="18"/>
      <c r="N268" s="114"/>
      <c r="O268" s="99">
        <f>SUM(F268:N268)</f>
        <v>267.08</v>
      </c>
      <c r="P268" s="183"/>
      <c r="Q268" s="183"/>
      <c r="R268" s="184">
        <f t="shared" ref="R268" si="232">P268+Q268</f>
        <v>0</v>
      </c>
      <c r="S268" s="182">
        <f>O268*P268</f>
        <v>0</v>
      </c>
      <c r="T268" s="185">
        <f>O268*Q268</f>
        <v>0</v>
      </c>
      <c r="U268" s="184">
        <f>S268+T268</f>
        <v>0</v>
      </c>
      <c r="V268" s="200" t="s">
        <v>149</v>
      </c>
      <c r="X268" s="60"/>
    </row>
    <row r="269" spans="1:24" s="59" customFormat="1" ht="48" customHeight="1">
      <c r="A269" s="108" t="s">
        <v>200</v>
      </c>
      <c r="B269" s="109"/>
      <c r="C269" s="318" t="s">
        <v>368</v>
      </c>
      <c r="D269" s="322"/>
      <c r="E269" s="111"/>
      <c r="F269" s="112"/>
      <c r="G269" s="246"/>
      <c r="H269" s="83"/>
      <c r="I269" s="83"/>
      <c r="J269" s="83"/>
      <c r="K269" s="83"/>
      <c r="L269" s="83"/>
      <c r="M269" s="83"/>
      <c r="N269" s="146"/>
      <c r="O269" s="98"/>
      <c r="P269" s="95"/>
      <c r="Q269" s="84"/>
      <c r="R269" s="85"/>
      <c r="S269" s="210">
        <f>SUM(S270:S279)</f>
        <v>0</v>
      </c>
      <c r="T269" s="211">
        <f>SUM(T270:T279)</f>
        <v>0</v>
      </c>
      <c r="U269" s="212">
        <f>T269+S269</f>
        <v>0</v>
      </c>
      <c r="V269" s="289"/>
      <c r="X269" s="60"/>
    </row>
    <row r="270" spans="1:24" s="59" customFormat="1" ht="37.5" customHeight="1" outlineLevel="1">
      <c r="A270" s="66" t="s">
        <v>356</v>
      </c>
      <c r="B270" s="202"/>
      <c r="C270" s="90" t="s">
        <v>82</v>
      </c>
      <c r="D270" s="323"/>
      <c r="E270" s="67" t="s">
        <v>4</v>
      </c>
      <c r="F270" s="18">
        <v>515.21</v>
      </c>
      <c r="G270" s="18">
        <v>413.97</v>
      </c>
      <c r="H270" s="18">
        <v>688.83</v>
      </c>
      <c r="I270" s="18">
        <v>475.71</v>
      </c>
      <c r="J270" s="18"/>
      <c r="K270" s="18"/>
      <c r="L270" s="18"/>
      <c r="M270" s="18"/>
      <c r="N270" s="114"/>
      <c r="O270" s="99">
        <f t="shared" ref="O270:O278" si="233">SUM(F270:N270)</f>
        <v>2093.7199999999998</v>
      </c>
      <c r="P270" s="183"/>
      <c r="Q270" s="183"/>
      <c r="R270" s="184">
        <f t="shared" ref="R270:R278" si="234">P270+Q270</f>
        <v>0</v>
      </c>
      <c r="S270" s="182">
        <f t="shared" ref="S270:S278" si="235">O270*P270</f>
        <v>0</v>
      </c>
      <c r="T270" s="185">
        <f t="shared" ref="T270:T278" si="236">O270*Q270</f>
        <v>0</v>
      </c>
      <c r="U270" s="184">
        <f t="shared" ref="U270:U278" si="237">S270+T270</f>
        <v>0</v>
      </c>
      <c r="V270" s="200"/>
      <c r="X270" s="60"/>
    </row>
    <row r="271" spans="1:24" s="59" customFormat="1" ht="37.5" customHeight="1" outlineLevel="1">
      <c r="A271" s="66" t="s">
        <v>357</v>
      </c>
      <c r="B271" s="202"/>
      <c r="C271" s="90" t="s">
        <v>83</v>
      </c>
      <c r="D271" s="323"/>
      <c r="E271" s="67" t="s">
        <v>4</v>
      </c>
      <c r="F271" s="18">
        <v>43.13</v>
      </c>
      <c r="G271" s="18">
        <v>2.73</v>
      </c>
      <c r="H271" s="18">
        <v>7.3</v>
      </c>
      <c r="I271" s="18"/>
      <c r="J271" s="18"/>
      <c r="K271" s="18"/>
      <c r="L271" s="18"/>
      <c r="M271" s="18"/>
      <c r="N271" s="114"/>
      <c r="O271" s="99">
        <f t="shared" si="233"/>
        <v>53.16</v>
      </c>
      <c r="P271" s="183"/>
      <c r="Q271" s="183"/>
      <c r="R271" s="184">
        <f t="shared" si="234"/>
        <v>0</v>
      </c>
      <c r="S271" s="182">
        <f t="shared" si="235"/>
        <v>0</v>
      </c>
      <c r="T271" s="185">
        <f t="shared" si="236"/>
        <v>0</v>
      </c>
      <c r="U271" s="184">
        <f t="shared" si="237"/>
        <v>0</v>
      </c>
      <c r="V271" s="200"/>
      <c r="X271" s="60"/>
    </row>
    <row r="272" spans="1:24" s="59" customFormat="1" ht="37.5" customHeight="1" outlineLevel="1">
      <c r="A272" s="66" t="s">
        <v>234</v>
      </c>
      <c r="B272" s="202"/>
      <c r="C272" s="90" t="s">
        <v>84</v>
      </c>
      <c r="D272" s="323"/>
      <c r="E272" s="67" t="s">
        <v>4</v>
      </c>
      <c r="F272" s="18">
        <v>13.33</v>
      </c>
      <c r="G272" s="18">
        <v>21.6</v>
      </c>
      <c r="H272" s="18">
        <v>10.039999999999999</v>
      </c>
      <c r="I272" s="18"/>
      <c r="J272" s="18"/>
      <c r="K272" s="18"/>
      <c r="L272" s="18"/>
      <c r="M272" s="18"/>
      <c r="N272" s="114"/>
      <c r="O272" s="99">
        <f t="shared" si="233"/>
        <v>44.97</v>
      </c>
      <c r="P272" s="183"/>
      <c r="Q272" s="183"/>
      <c r="R272" s="184">
        <f t="shared" si="234"/>
        <v>0</v>
      </c>
      <c r="S272" s="182">
        <f t="shared" si="235"/>
        <v>0</v>
      </c>
      <c r="T272" s="185">
        <f t="shared" si="236"/>
        <v>0</v>
      </c>
      <c r="U272" s="184">
        <f t="shared" si="237"/>
        <v>0</v>
      </c>
      <c r="V272" s="200"/>
      <c r="X272" s="60"/>
    </row>
    <row r="273" spans="1:24" s="59" customFormat="1" ht="37.5" customHeight="1" outlineLevel="1">
      <c r="A273" s="66" t="s">
        <v>358</v>
      </c>
      <c r="B273" s="202"/>
      <c r="C273" s="90" t="s">
        <v>15</v>
      </c>
      <c r="D273" s="323"/>
      <c r="E273" s="67" t="s">
        <v>4</v>
      </c>
      <c r="F273" s="18">
        <f>767.85+21.61</f>
        <v>789.46</v>
      </c>
      <c r="G273" s="18">
        <f>1942.84+33.3</f>
        <v>1976.14</v>
      </c>
      <c r="H273" s="18">
        <f>1290.59+41.44</f>
        <v>1332.03</v>
      </c>
      <c r="I273" s="18">
        <f>1063.87+32.33</f>
        <v>1096.2</v>
      </c>
      <c r="J273" s="18"/>
      <c r="K273" s="18"/>
      <c r="L273" s="18"/>
      <c r="M273" s="18"/>
      <c r="N273" s="114"/>
      <c r="O273" s="99">
        <f t="shared" si="233"/>
        <v>5193.83</v>
      </c>
      <c r="P273" s="183"/>
      <c r="Q273" s="183"/>
      <c r="R273" s="184">
        <f t="shared" si="234"/>
        <v>0</v>
      </c>
      <c r="S273" s="182">
        <f t="shared" si="235"/>
        <v>0</v>
      </c>
      <c r="T273" s="185">
        <f t="shared" si="236"/>
        <v>0</v>
      </c>
      <c r="U273" s="184">
        <f t="shared" si="237"/>
        <v>0</v>
      </c>
      <c r="V273" s="200" t="s">
        <v>122</v>
      </c>
      <c r="X273" s="60"/>
    </row>
    <row r="274" spans="1:24" s="59" customFormat="1" ht="37.5" customHeight="1" outlineLevel="1">
      <c r="A274" s="66" t="s">
        <v>359</v>
      </c>
      <c r="B274" s="202"/>
      <c r="C274" s="90" t="s">
        <v>14</v>
      </c>
      <c r="D274" s="323"/>
      <c r="E274" s="67" t="s">
        <v>4</v>
      </c>
      <c r="F274" s="18">
        <v>110.37</v>
      </c>
      <c r="G274" s="18">
        <v>159.68</v>
      </c>
      <c r="H274" s="18">
        <v>112.42</v>
      </c>
      <c r="I274" s="18">
        <v>94.06</v>
      </c>
      <c r="J274" s="18"/>
      <c r="K274" s="18"/>
      <c r="L274" s="18"/>
      <c r="M274" s="18"/>
      <c r="N274" s="114"/>
      <c r="O274" s="99">
        <f t="shared" si="233"/>
        <v>476.53</v>
      </c>
      <c r="P274" s="183"/>
      <c r="Q274" s="183"/>
      <c r="R274" s="184">
        <f t="shared" si="234"/>
        <v>0</v>
      </c>
      <c r="S274" s="182">
        <f t="shared" si="235"/>
        <v>0</v>
      </c>
      <c r="T274" s="185">
        <f t="shared" si="236"/>
        <v>0</v>
      </c>
      <c r="U274" s="184">
        <f t="shared" si="237"/>
        <v>0</v>
      </c>
      <c r="V274" s="200"/>
      <c r="X274" s="60"/>
    </row>
    <row r="275" spans="1:24" s="59" customFormat="1" ht="37.5" customHeight="1" outlineLevel="1">
      <c r="A275" s="66" t="s">
        <v>360</v>
      </c>
      <c r="B275" s="202"/>
      <c r="C275" s="90" t="s">
        <v>118</v>
      </c>
      <c r="D275" s="323"/>
      <c r="E275" s="67" t="s">
        <v>4</v>
      </c>
      <c r="F275" s="18">
        <v>347.81</v>
      </c>
      <c r="G275" s="18">
        <v>145.59</v>
      </c>
      <c r="H275" s="18">
        <v>183.59</v>
      </c>
      <c r="I275" s="18">
        <v>89.83</v>
      </c>
      <c r="J275" s="18"/>
      <c r="K275" s="18"/>
      <c r="L275" s="18"/>
      <c r="M275" s="18"/>
      <c r="N275" s="114"/>
      <c r="O275" s="99">
        <f t="shared" si="233"/>
        <v>766.82</v>
      </c>
      <c r="P275" s="183"/>
      <c r="Q275" s="183"/>
      <c r="R275" s="184">
        <f t="shared" si="234"/>
        <v>0</v>
      </c>
      <c r="S275" s="182">
        <f t="shared" si="235"/>
        <v>0</v>
      </c>
      <c r="T275" s="185">
        <f t="shared" si="236"/>
        <v>0</v>
      </c>
      <c r="U275" s="184">
        <f t="shared" si="237"/>
        <v>0</v>
      </c>
      <c r="V275" s="200"/>
      <c r="X275" s="60"/>
    </row>
    <row r="276" spans="1:24" s="59" customFormat="1" ht="37.5" customHeight="1" outlineLevel="1">
      <c r="A276" s="66" t="s">
        <v>361</v>
      </c>
      <c r="B276" s="202"/>
      <c r="C276" s="90" t="s">
        <v>23</v>
      </c>
      <c r="D276" s="323"/>
      <c r="E276" s="67" t="s">
        <v>4</v>
      </c>
      <c r="F276" s="18">
        <v>418.76</v>
      </c>
      <c r="G276" s="18">
        <v>676.57</v>
      </c>
      <c r="H276" s="18">
        <v>358.44</v>
      </c>
      <c r="I276" s="18">
        <v>335.44</v>
      </c>
      <c r="J276" s="18"/>
      <c r="K276" s="18"/>
      <c r="L276" s="18"/>
      <c r="M276" s="18"/>
      <c r="N276" s="114"/>
      <c r="O276" s="99">
        <f t="shared" si="233"/>
        <v>1789.21</v>
      </c>
      <c r="P276" s="183"/>
      <c r="Q276" s="183"/>
      <c r="R276" s="184">
        <f t="shared" si="234"/>
        <v>0</v>
      </c>
      <c r="S276" s="182">
        <f t="shared" si="235"/>
        <v>0</v>
      </c>
      <c r="T276" s="185">
        <f t="shared" si="236"/>
        <v>0</v>
      </c>
      <c r="U276" s="184">
        <f t="shared" si="237"/>
        <v>0</v>
      </c>
      <c r="V276" s="200"/>
      <c r="X276" s="60"/>
    </row>
    <row r="277" spans="1:24" s="59" customFormat="1" ht="37.5" customHeight="1" outlineLevel="1">
      <c r="A277" s="66" t="s">
        <v>362</v>
      </c>
      <c r="B277" s="202"/>
      <c r="C277" s="90" t="s">
        <v>85</v>
      </c>
      <c r="D277" s="323"/>
      <c r="E277" s="67" t="s">
        <v>86</v>
      </c>
      <c r="F277" s="18">
        <v>9.3000000000000007</v>
      </c>
      <c r="G277" s="18">
        <v>18</v>
      </c>
      <c r="H277" s="18">
        <v>27.27</v>
      </c>
      <c r="I277" s="18">
        <v>9.14</v>
      </c>
      <c r="J277" s="18"/>
      <c r="K277" s="18"/>
      <c r="L277" s="18"/>
      <c r="M277" s="18"/>
      <c r="N277" s="114"/>
      <c r="O277" s="99">
        <f t="shared" si="233"/>
        <v>63.71</v>
      </c>
      <c r="P277" s="183"/>
      <c r="Q277" s="183"/>
      <c r="R277" s="184">
        <f t="shared" si="234"/>
        <v>0</v>
      </c>
      <c r="S277" s="182">
        <f t="shared" si="235"/>
        <v>0</v>
      </c>
      <c r="T277" s="185">
        <f t="shared" si="236"/>
        <v>0</v>
      </c>
      <c r="U277" s="184">
        <f t="shared" si="237"/>
        <v>0</v>
      </c>
      <c r="V277" s="200"/>
      <c r="X277" s="60"/>
    </row>
    <row r="278" spans="1:24" s="59" customFormat="1" ht="37.5" customHeight="1" outlineLevel="1">
      <c r="A278" s="66" t="s">
        <v>235</v>
      </c>
      <c r="B278" s="202"/>
      <c r="C278" s="90" t="s">
        <v>126</v>
      </c>
      <c r="D278" s="323"/>
      <c r="E278" s="67" t="s">
        <v>86</v>
      </c>
      <c r="F278" s="18">
        <v>12</v>
      </c>
      <c r="G278" s="18"/>
      <c r="H278" s="18"/>
      <c r="I278" s="18"/>
      <c r="J278" s="18"/>
      <c r="K278" s="18"/>
      <c r="L278" s="18"/>
      <c r="M278" s="18"/>
      <c r="N278" s="114"/>
      <c r="O278" s="99">
        <f t="shared" si="233"/>
        <v>12</v>
      </c>
      <c r="P278" s="183"/>
      <c r="Q278" s="183"/>
      <c r="R278" s="184">
        <f t="shared" si="234"/>
        <v>0</v>
      </c>
      <c r="S278" s="182">
        <f t="shared" si="235"/>
        <v>0</v>
      </c>
      <c r="T278" s="185">
        <f t="shared" si="236"/>
        <v>0</v>
      </c>
      <c r="U278" s="184">
        <f t="shared" si="237"/>
        <v>0</v>
      </c>
      <c r="V278" s="200"/>
      <c r="X278" s="60"/>
    </row>
    <row r="279" spans="1:24" s="59" customFormat="1" ht="37.5" customHeight="1" outlineLevel="1">
      <c r="A279" s="66" t="s">
        <v>363</v>
      </c>
      <c r="B279" s="205"/>
      <c r="C279" s="90" t="s">
        <v>365</v>
      </c>
      <c r="D279" s="323"/>
      <c r="E279" s="67" t="s">
        <v>4</v>
      </c>
      <c r="F279" s="238">
        <v>3.5</v>
      </c>
      <c r="G279" s="238">
        <v>4.8</v>
      </c>
      <c r="H279" s="238">
        <v>4.4000000000000004</v>
      </c>
      <c r="I279" s="238">
        <v>3</v>
      </c>
      <c r="J279" s="238"/>
      <c r="K279" s="238"/>
      <c r="L279" s="238"/>
      <c r="M279" s="238"/>
      <c r="N279" s="237"/>
      <c r="O279" s="99">
        <f t="shared" ref="O279" si="238">SUM(F279:N279)</f>
        <v>15.7</v>
      </c>
      <c r="P279" s="183"/>
      <c r="Q279" s="183"/>
      <c r="R279" s="184">
        <f t="shared" ref="R279" si="239">P279+Q279</f>
        <v>0</v>
      </c>
      <c r="S279" s="182">
        <f t="shared" ref="S279" si="240">O279*P279</f>
        <v>0</v>
      </c>
      <c r="T279" s="185">
        <f t="shared" ref="T279" si="241">O279*Q279</f>
        <v>0</v>
      </c>
      <c r="U279" s="184">
        <f t="shared" ref="U279" si="242">S279+T279</f>
        <v>0</v>
      </c>
      <c r="V279" s="200"/>
      <c r="X279" s="60"/>
    </row>
    <row r="280" spans="1:24" s="59" customFormat="1" ht="37.5" customHeight="1">
      <c r="A280" s="214">
        <v>4</v>
      </c>
      <c r="B280" s="257"/>
      <c r="C280" s="324" t="s">
        <v>410</v>
      </c>
      <c r="D280" s="326"/>
      <c r="E280" s="217"/>
      <c r="F280" s="217"/>
      <c r="G280" s="217"/>
      <c r="H280" s="217"/>
      <c r="I280" s="217"/>
      <c r="J280" s="217"/>
      <c r="K280" s="217"/>
      <c r="L280" s="217"/>
      <c r="M280" s="217"/>
      <c r="N280" s="218"/>
      <c r="O280" s="219"/>
      <c r="P280" s="220"/>
      <c r="Q280" s="221"/>
      <c r="R280" s="222"/>
      <c r="S280" s="223">
        <f>S281+S359</f>
        <v>0</v>
      </c>
      <c r="T280" s="224">
        <f>T281+T359</f>
        <v>0</v>
      </c>
      <c r="U280" s="225">
        <f>T280+S280</f>
        <v>0</v>
      </c>
      <c r="V280" s="288"/>
      <c r="X280" s="60"/>
    </row>
    <row r="281" spans="1:24" s="59" customFormat="1" ht="46.5" customHeight="1">
      <c r="A281" s="213" t="s">
        <v>274</v>
      </c>
      <c r="B281" s="232"/>
      <c r="C281" s="325" t="s">
        <v>106</v>
      </c>
      <c r="D281" s="327"/>
      <c r="E281" s="82"/>
      <c r="F281" s="83"/>
      <c r="G281" s="83"/>
      <c r="H281" s="83"/>
      <c r="I281" s="83"/>
      <c r="J281" s="83"/>
      <c r="K281" s="83"/>
      <c r="L281" s="83"/>
      <c r="M281" s="83"/>
      <c r="N281" s="146"/>
      <c r="O281" s="98"/>
      <c r="P281" s="95"/>
      <c r="Q281" s="84"/>
      <c r="R281" s="85"/>
      <c r="S281" s="226">
        <f>SUM(S282:S358)</f>
        <v>0</v>
      </c>
      <c r="T281" s="227">
        <f>SUM(T282:T358)</f>
        <v>0</v>
      </c>
      <c r="U281" s="212">
        <f>T281+S281</f>
        <v>0</v>
      </c>
      <c r="V281" s="289"/>
      <c r="X281" s="60"/>
    </row>
    <row r="282" spans="1:24" s="59" customFormat="1" ht="38.25" customHeight="1" outlineLevel="1">
      <c r="A282" s="66" t="s">
        <v>275</v>
      </c>
      <c r="B282" s="202"/>
      <c r="C282" s="89" t="s">
        <v>421</v>
      </c>
      <c r="D282" s="330"/>
      <c r="E282" s="100" t="s">
        <v>4</v>
      </c>
      <c r="F282" s="101">
        <f t="shared" ref="F282:K282" si="243">F283</f>
        <v>6.86</v>
      </c>
      <c r="G282" s="102">
        <f t="shared" si="243"/>
        <v>4.88</v>
      </c>
      <c r="H282" s="102">
        <f t="shared" si="243"/>
        <v>3.85</v>
      </c>
      <c r="I282" s="102">
        <f t="shared" si="243"/>
        <v>13.17</v>
      </c>
      <c r="J282" s="102">
        <f t="shared" si="243"/>
        <v>5.76</v>
      </c>
      <c r="K282" s="102">
        <f t="shared" si="243"/>
        <v>13.84</v>
      </c>
      <c r="L282" s="102"/>
      <c r="M282" s="102"/>
      <c r="N282" s="121"/>
      <c r="O282" s="190">
        <f>SUM(F282:N282)</f>
        <v>48.36</v>
      </c>
      <c r="P282" s="182">
        <f>P283*O283/O282</f>
        <v>0</v>
      </c>
      <c r="Q282" s="183"/>
      <c r="R282" s="184">
        <f t="shared" ref="R282" si="244">P282+Q282</f>
        <v>0</v>
      </c>
      <c r="S282" s="182">
        <f>O282*P282</f>
        <v>0</v>
      </c>
      <c r="T282" s="185">
        <f>O282*Q282</f>
        <v>0</v>
      </c>
      <c r="U282" s="184">
        <f>S282+T282</f>
        <v>0</v>
      </c>
      <c r="V282" s="290" t="s">
        <v>109</v>
      </c>
      <c r="X282" s="60"/>
    </row>
    <row r="283" spans="1:24" s="59" customFormat="1" ht="37.5" customHeight="1" outlineLevel="1">
      <c r="A283" s="66" t="s">
        <v>276</v>
      </c>
      <c r="B283" s="235">
        <v>4100017642</v>
      </c>
      <c r="C283" s="157" t="s">
        <v>108</v>
      </c>
      <c r="D283" s="316"/>
      <c r="E283" s="15" t="s">
        <v>4</v>
      </c>
      <c r="F283" s="6">
        <v>6.86</v>
      </c>
      <c r="G283" s="92">
        <v>4.88</v>
      </c>
      <c r="H283" s="92">
        <v>3.85</v>
      </c>
      <c r="I283" s="92">
        <v>13.17</v>
      </c>
      <c r="J283" s="92">
        <v>5.76</v>
      </c>
      <c r="K283" s="92">
        <v>13.84</v>
      </c>
      <c r="L283" s="92"/>
      <c r="M283" s="92"/>
      <c r="N283" s="122"/>
      <c r="O283" s="99">
        <f t="shared" ref="O283:O288" si="245">SUM(F283:N283)</f>
        <v>48.36</v>
      </c>
      <c r="P283" s="186"/>
      <c r="Q283" s="187"/>
      <c r="R283" s="184"/>
      <c r="S283" s="182"/>
      <c r="T283" s="185"/>
      <c r="U283" s="184"/>
      <c r="V283" s="397" t="s">
        <v>405</v>
      </c>
      <c r="X283" s="60"/>
    </row>
    <row r="284" spans="1:24" s="59" customFormat="1" ht="37.5" customHeight="1" outlineLevel="1">
      <c r="A284" s="66" t="s">
        <v>277</v>
      </c>
      <c r="B284" s="202"/>
      <c r="C284" s="229" t="s">
        <v>584</v>
      </c>
      <c r="D284" s="330"/>
      <c r="E284" s="103" t="s">
        <v>4</v>
      </c>
      <c r="F284" s="101">
        <v>1.29</v>
      </c>
      <c r="G284" s="101">
        <f t="shared" ref="G284:K284" si="246">G285</f>
        <v>1.3</v>
      </c>
      <c r="H284" s="101">
        <f t="shared" si="246"/>
        <v>2.35</v>
      </c>
      <c r="I284" s="101">
        <f t="shared" si="246"/>
        <v>1.42</v>
      </c>
      <c r="J284" s="101">
        <f t="shared" si="246"/>
        <v>2.23</v>
      </c>
      <c r="K284" s="101">
        <f t="shared" si="246"/>
        <v>0.39</v>
      </c>
      <c r="L284" s="102"/>
      <c r="M284" s="102"/>
      <c r="N284" s="121"/>
      <c r="O284" s="190">
        <f t="shared" ref="O284" si="247">SUM(F284:N284)</f>
        <v>8.98</v>
      </c>
      <c r="P284" s="182">
        <f>(SUMPRODUCT(O285:O287,P285:P287)/O284)</f>
        <v>0</v>
      </c>
      <c r="Q284" s="183"/>
      <c r="R284" s="184">
        <f t="shared" ref="R284" si="248">P284+Q284</f>
        <v>0</v>
      </c>
      <c r="S284" s="182">
        <f t="shared" ref="S284" si="249">O284*P284</f>
        <v>0</v>
      </c>
      <c r="T284" s="185">
        <f t="shared" ref="T284" si="250">O284*Q284</f>
        <v>0</v>
      </c>
      <c r="U284" s="184">
        <f t="shared" ref="U284" si="251">S284+T284</f>
        <v>0</v>
      </c>
      <c r="V284" s="200" t="s">
        <v>123</v>
      </c>
      <c r="X284" s="60"/>
    </row>
    <row r="285" spans="1:24" s="59" customFormat="1" ht="27.75" customHeight="1" outlineLevel="1">
      <c r="A285" s="66" t="s">
        <v>278</v>
      </c>
      <c r="B285" s="202"/>
      <c r="C285" s="309" t="s">
        <v>16</v>
      </c>
      <c r="D285" s="316"/>
      <c r="E285" s="11" t="s">
        <v>4</v>
      </c>
      <c r="F285" s="11">
        <v>1.29</v>
      </c>
      <c r="G285" s="92">
        <v>1.3</v>
      </c>
      <c r="H285" s="92">
        <v>2.35</v>
      </c>
      <c r="I285" s="92">
        <v>1.42</v>
      </c>
      <c r="J285" s="92">
        <v>2.23</v>
      </c>
      <c r="K285" s="92">
        <v>0.39</v>
      </c>
      <c r="L285" s="18"/>
      <c r="M285" s="18"/>
      <c r="N285" s="114"/>
      <c r="O285" s="99">
        <f t="shared" ref="O285:O287" si="252">SUM(F285:N285)</f>
        <v>8.98</v>
      </c>
      <c r="P285" s="188"/>
      <c r="Q285" s="189"/>
      <c r="R285" s="184"/>
      <c r="S285" s="182"/>
      <c r="T285" s="185"/>
      <c r="U285" s="184"/>
      <c r="V285" s="200"/>
      <c r="X285" s="60"/>
    </row>
    <row r="286" spans="1:24" s="59" customFormat="1" ht="27.75" customHeight="1" outlineLevel="1">
      <c r="A286" s="66" t="s">
        <v>279</v>
      </c>
      <c r="B286" s="202"/>
      <c r="C286" s="307" t="s">
        <v>90</v>
      </c>
      <c r="D286" s="328">
        <v>50.4</v>
      </c>
      <c r="E286" s="26" t="s">
        <v>30</v>
      </c>
      <c r="F286" s="23">
        <f>1.01*D286</f>
        <v>50.9</v>
      </c>
      <c r="G286" s="92">
        <f>1.02*D286</f>
        <v>51.41</v>
      </c>
      <c r="H286" s="92">
        <f>1.95*D286</f>
        <v>98.28</v>
      </c>
      <c r="I286" s="92">
        <f>1.19*D286</f>
        <v>59.98</v>
      </c>
      <c r="J286" s="92">
        <f>1.86*D286</f>
        <v>93.74</v>
      </c>
      <c r="K286" s="92">
        <f>0.39*D286</f>
        <v>19.66</v>
      </c>
      <c r="L286" s="424"/>
      <c r="M286" s="18"/>
      <c r="N286" s="114"/>
      <c r="O286" s="99">
        <f t="shared" si="252"/>
        <v>373.97</v>
      </c>
      <c r="P286" s="188"/>
      <c r="Q286" s="189"/>
      <c r="R286" s="184"/>
      <c r="S286" s="182"/>
      <c r="T286" s="185"/>
      <c r="U286" s="184"/>
      <c r="V286" s="200"/>
      <c r="X286" s="60"/>
    </row>
    <row r="287" spans="1:24" s="59" customFormat="1" ht="27.75" customHeight="1" outlineLevel="1">
      <c r="A287" s="66" t="s">
        <v>280</v>
      </c>
      <c r="B287" s="202"/>
      <c r="C287" s="308" t="s">
        <v>59</v>
      </c>
      <c r="D287" s="311">
        <v>2.3E-2</v>
      </c>
      <c r="E287" s="23" t="s">
        <v>34</v>
      </c>
      <c r="F287" s="23">
        <f>1.01*D287</f>
        <v>0.02</v>
      </c>
      <c r="G287" s="92">
        <f>1.02*D287</f>
        <v>0.02</v>
      </c>
      <c r="H287" s="92">
        <f>1.95*D287</f>
        <v>0.04</v>
      </c>
      <c r="I287" s="92">
        <f>1.19*D287</f>
        <v>0.03</v>
      </c>
      <c r="J287" s="92">
        <f>1.86*D287</f>
        <v>0.04</v>
      </c>
      <c r="K287" s="92">
        <f>0.39*D287</f>
        <v>0.01</v>
      </c>
      <c r="L287" s="18"/>
      <c r="M287" s="18"/>
      <c r="N287" s="114"/>
      <c r="O287" s="99">
        <f t="shared" si="252"/>
        <v>0.16</v>
      </c>
      <c r="P287" s="96"/>
      <c r="Q287" s="189"/>
      <c r="R287" s="69"/>
      <c r="S287" s="87"/>
      <c r="T287" s="230"/>
      <c r="U287" s="69"/>
      <c r="V287" s="200"/>
      <c r="X287" s="60"/>
    </row>
    <row r="288" spans="1:24" s="59" customFormat="1" ht="37.5" customHeight="1" outlineLevel="1">
      <c r="A288" s="66" t="s">
        <v>277</v>
      </c>
      <c r="B288" s="202"/>
      <c r="C288" s="229" t="s">
        <v>583</v>
      </c>
      <c r="D288" s="330"/>
      <c r="E288" s="103" t="s">
        <v>4</v>
      </c>
      <c r="F288" s="101"/>
      <c r="G288" s="101"/>
      <c r="H288" s="101"/>
      <c r="I288" s="101">
        <f t="shared" ref="I288:K288" si="253">I289</f>
        <v>0.91</v>
      </c>
      <c r="J288" s="101">
        <f t="shared" si="253"/>
        <v>0.88</v>
      </c>
      <c r="K288" s="101">
        <f t="shared" si="253"/>
        <v>1.66</v>
      </c>
      <c r="L288" s="102"/>
      <c r="M288" s="102"/>
      <c r="N288" s="121"/>
      <c r="O288" s="190">
        <f t="shared" si="245"/>
        <v>3.45</v>
      </c>
      <c r="P288" s="182">
        <f>(SUMPRODUCT(O289:O292,P289:P292)/O288)</f>
        <v>0</v>
      </c>
      <c r="Q288" s="183"/>
      <c r="R288" s="184">
        <f t="shared" ref="R288" si="254">P288+Q288</f>
        <v>0</v>
      </c>
      <c r="S288" s="182">
        <f t="shared" ref="S288" si="255">O288*P288</f>
        <v>0</v>
      </c>
      <c r="T288" s="185">
        <f t="shared" ref="T288" si="256">O288*Q288</f>
        <v>0</v>
      </c>
      <c r="U288" s="184">
        <f t="shared" ref="U288" si="257">S288+T288</f>
        <v>0</v>
      </c>
      <c r="V288" s="200" t="s">
        <v>123</v>
      </c>
      <c r="X288" s="60"/>
    </row>
    <row r="289" spans="1:24" s="59" customFormat="1" ht="27.75" customHeight="1" outlineLevel="1">
      <c r="A289" s="66" t="s">
        <v>278</v>
      </c>
      <c r="B289" s="202"/>
      <c r="C289" s="416" t="s">
        <v>18</v>
      </c>
      <c r="D289" s="316"/>
      <c r="E289" s="11" t="s">
        <v>4</v>
      </c>
      <c r="F289" s="11"/>
      <c r="G289" s="92"/>
      <c r="H289" s="92"/>
      <c r="I289" s="92">
        <v>0.91</v>
      </c>
      <c r="J289" s="92">
        <v>0.88</v>
      </c>
      <c r="K289" s="92">
        <v>1.66</v>
      </c>
      <c r="L289" s="18"/>
      <c r="M289" s="18"/>
      <c r="N289" s="114"/>
      <c r="O289" s="99">
        <f t="shared" ref="O289:O295" si="258">SUM(F289:N289)</f>
        <v>3.45</v>
      </c>
      <c r="P289" s="188"/>
      <c r="Q289" s="189"/>
      <c r="R289" s="184"/>
      <c r="S289" s="182"/>
      <c r="T289" s="185"/>
      <c r="U289" s="184"/>
      <c r="V289" s="200"/>
      <c r="X289" s="60"/>
    </row>
    <row r="290" spans="1:24" s="59" customFormat="1" ht="27.75" customHeight="1" outlineLevel="1">
      <c r="A290" s="66" t="s">
        <v>279</v>
      </c>
      <c r="B290" s="205"/>
      <c r="C290" s="416" t="s">
        <v>129</v>
      </c>
      <c r="D290" s="316"/>
      <c r="E290" s="265" t="s">
        <v>4</v>
      </c>
      <c r="F290" s="265"/>
      <c r="G290" s="192"/>
      <c r="H290" s="192"/>
      <c r="I290" s="192">
        <f>I289</f>
        <v>0.91</v>
      </c>
      <c r="J290" s="192">
        <f>J289</f>
        <v>0.88</v>
      </c>
      <c r="K290" s="192">
        <f>K289</f>
        <v>1.66</v>
      </c>
      <c r="L290" s="238"/>
      <c r="M290" s="238"/>
      <c r="N290" s="237"/>
      <c r="O290" s="99">
        <f t="shared" si="258"/>
        <v>3.45</v>
      </c>
      <c r="P290" s="188"/>
      <c r="Q290" s="189"/>
      <c r="R290" s="184"/>
      <c r="S290" s="182"/>
      <c r="T290" s="185"/>
      <c r="U290" s="184"/>
      <c r="V290" s="200"/>
      <c r="X290" s="60"/>
    </row>
    <row r="291" spans="1:24" s="59" customFormat="1" ht="27.75" customHeight="1" outlineLevel="1">
      <c r="A291" s="66" t="s">
        <v>280</v>
      </c>
      <c r="B291" s="202"/>
      <c r="C291" s="307" t="s">
        <v>90</v>
      </c>
      <c r="D291" s="328">
        <v>50.4</v>
      </c>
      <c r="E291" s="26" t="s">
        <v>30</v>
      </c>
      <c r="F291" s="398"/>
      <c r="G291" s="400"/>
      <c r="H291" s="400"/>
      <c r="I291" s="92">
        <f>0.74*D291</f>
        <v>37.299999999999997</v>
      </c>
      <c r="J291" s="92">
        <f>0.71*D291</f>
        <v>35.78</v>
      </c>
      <c r="K291" s="92">
        <f>1.23*D291</f>
        <v>61.99</v>
      </c>
      <c r="L291" s="425"/>
      <c r="M291" s="425"/>
      <c r="N291" s="114"/>
      <c r="O291" s="99">
        <f t="shared" si="258"/>
        <v>135.07</v>
      </c>
      <c r="P291" s="188"/>
      <c r="Q291" s="189"/>
      <c r="R291" s="184"/>
      <c r="S291" s="182"/>
      <c r="T291" s="185"/>
      <c r="U291" s="184"/>
      <c r="V291" s="200"/>
      <c r="X291" s="60"/>
    </row>
    <row r="292" spans="1:24" s="59" customFormat="1" ht="27.75" customHeight="1" outlineLevel="1">
      <c r="A292" s="66" t="s">
        <v>507</v>
      </c>
      <c r="B292" s="202"/>
      <c r="C292" s="308" t="s">
        <v>59</v>
      </c>
      <c r="D292" s="311">
        <v>2.3E-2</v>
      </c>
      <c r="E292" s="23" t="s">
        <v>34</v>
      </c>
      <c r="F292" s="23"/>
      <c r="G292" s="92"/>
      <c r="H292" s="92"/>
      <c r="I292" s="92">
        <f>0.74*D292</f>
        <v>0.02</v>
      </c>
      <c r="J292" s="92">
        <f>0.71*D292</f>
        <v>0.02</v>
      </c>
      <c r="K292" s="92">
        <f>1.23*D292</f>
        <v>0.03</v>
      </c>
      <c r="L292" s="18"/>
      <c r="M292" s="18"/>
      <c r="N292" s="114"/>
      <c r="O292" s="99">
        <f t="shared" si="258"/>
        <v>7.0000000000000007E-2</v>
      </c>
      <c r="P292" s="96"/>
      <c r="Q292" s="189"/>
      <c r="R292" s="69"/>
      <c r="S292" s="87"/>
      <c r="T292" s="230"/>
      <c r="U292" s="69"/>
      <c r="V292" s="200"/>
      <c r="X292" s="60"/>
    </row>
    <row r="293" spans="1:24" s="59" customFormat="1" ht="42" customHeight="1" outlineLevel="1">
      <c r="A293" s="66" t="s">
        <v>281</v>
      </c>
      <c r="B293" s="202"/>
      <c r="C293" s="231" t="s">
        <v>220</v>
      </c>
      <c r="D293" s="334"/>
      <c r="E293" s="104" t="s">
        <v>4</v>
      </c>
      <c r="F293" s="102">
        <v>7.03</v>
      </c>
      <c r="G293" s="102">
        <v>13.99</v>
      </c>
      <c r="H293" s="102">
        <v>3.48</v>
      </c>
      <c r="I293" s="102"/>
      <c r="J293" s="102"/>
      <c r="K293" s="102"/>
      <c r="L293" s="102"/>
      <c r="M293" s="102"/>
      <c r="N293" s="121"/>
      <c r="O293" s="190">
        <f t="shared" si="258"/>
        <v>24.5</v>
      </c>
      <c r="P293" s="182">
        <f>(SUMPRODUCT(O294:O295,P294:P295)/O293)</f>
        <v>0</v>
      </c>
      <c r="Q293" s="183"/>
      <c r="R293" s="184">
        <f t="shared" ref="R293" si="259">P293+Q293</f>
        <v>0</v>
      </c>
      <c r="S293" s="182">
        <f t="shared" ref="S293" si="260">O293*P293</f>
        <v>0</v>
      </c>
      <c r="T293" s="185">
        <f t="shared" ref="T293" si="261">O293*Q293</f>
        <v>0</v>
      </c>
      <c r="U293" s="184">
        <f t="shared" ref="U293" si="262">S293+T293</f>
        <v>0</v>
      </c>
      <c r="V293" s="200"/>
      <c r="X293" s="60"/>
    </row>
    <row r="294" spans="1:24" s="59" customFormat="1" ht="28.5" customHeight="1" outlineLevel="1">
      <c r="A294" s="66" t="s">
        <v>282</v>
      </c>
      <c r="B294" s="202"/>
      <c r="C294" s="307" t="s">
        <v>90</v>
      </c>
      <c r="D294" s="266">
        <v>50.4</v>
      </c>
      <c r="E294" s="23" t="s">
        <v>30</v>
      </c>
      <c r="F294" s="400">
        <f>7.03*D294</f>
        <v>354</v>
      </c>
      <c r="G294" s="400">
        <f>13.99*D294</f>
        <v>705</v>
      </c>
      <c r="H294" s="400">
        <f>3.48*D294</f>
        <v>175</v>
      </c>
      <c r="I294" s="92"/>
      <c r="J294" s="92"/>
      <c r="K294" s="92"/>
      <c r="L294" s="92"/>
      <c r="M294" s="92"/>
      <c r="N294" s="114"/>
      <c r="O294" s="99">
        <f t="shared" si="258"/>
        <v>1234</v>
      </c>
      <c r="P294" s="188"/>
      <c r="Q294" s="189"/>
      <c r="R294" s="184"/>
      <c r="S294" s="182"/>
      <c r="T294" s="185"/>
      <c r="U294" s="184"/>
      <c r="V294" s="200"/>
      <c r="X294" s="60"/>
    </row>
    <row r="295" spans="1:24" s="59" customFormat="1" ht="28.5" customHeight="1" outlineLevel="1">
      <c r="A295" s="66" t="s">
        <v>283</v>
      </c>
      <c r="B295" s="202"/>
      <c r="C295" s="308" t="s">
        <v>59</v>
      </c>
      <c r="D295" s="311">
        <v>2.3E-2</v>
      </c>
      <c r="E295" s="23" t="s">
        <v>34</v>
      </c>
      <c r="F295" s="92">
        <f>7.03*D295</f>
        <v>0.16</v>
      </c>
      <c r="G295" s="92">
        <f>13.99*D295</f>
        <v>0.32</v>
      </c>
      <c r="H295" s="92">
        <f>3.48*D295</f>
        <v>0.08</v>
      </c>
      <c r="I295" s="92"/>
      <c r="J295" s="92"/>
      <c r="K295" s="92"/>
      <c r="L295" s="92"/>
      <c r="M295" s="92"/>
      <c r="N295" s="114"/>
      <c r="O295" s="99">
        <f t="shared" si="258"/>
        <v>0.56000000000000005</v>
      </c>
      <c r="P295" s="188"/>
      <c r="Q295" s="106"/>
      <c r="R295" s="69"/>
      <c r="S295" s="70"/>
      <c r="T295" s="71"/>
      <c r="U295" s="69"/>
      <c r="V295" s="200"/>
      <c r="X295" s="60"/>
    </row>
    <row r="296" spans="1:24" s="59" customFormat="1" ht="37.5" customHeight="1" outlineLevel="1">
      <c r="A296" s="66" t="s">
        <v>284</v>
      </c>
      <c r="B296" s="202"/>
      <c r="C296" s="231" t="s">
        <v>581</v>
      </c>
      <c r="D296" s="312"/>
      <c r="E296" s="104" t="s">
        <v>4</v>
      </c>
      <c r="F296" s="102">
        <f>F297</f>
        <v>54.41</v>
      </c>
      <c r="G296" s="102">
        <f t="shared" ref="G296:K296" si="263">G297</f>
        <v>25.6</v>
      </c>
      <c r="H296" s="102">
        <f t="shared" si="263"/>
        <v>54.55</v>
      </c>
      <c r="I296" s="102">
        <f t="shared" si="263"/>
        <v>1.61</v>
      </c>
      <c r="J296" s="102">
        <f t="shared" si="263"/>
        <v>9.51</v>
      </c>
      <c r="K296" s="102">
        <f t="shared" si="263"/>
        <v>10.050000000000001</v>
      </c>
      <c r="L296" s="102"/>
      <c r="M296" s="102"/>
      <c r="N296" s="121"/>
      <c r="O296" s="190">
        <f t="shared" ref="O296:O300" si="264">SUM(F296:N296)</f>
        <v>155.72999999999999</v>
      </c>
      <c r="P296" s="182">
        <f>(SUMPRODUCT(O297:O300,P297:P300)/O296)</f>
        <v>0</v>
      </c>
      <c r="Q296" s="183"/>
      <c r="R296" s="184">
        <f t="shared" ref="R296" si="265">P296+Q296</f>
        <v>0</v>
      </c>
      <c r="S296" s="182">
        <f t="shared" ref="S296" si="266">O296*P296</f>
        <v>0</v>
      </c>
      <c r="T296" s="185">
        <f t="shared" ref="T296" si="267">O296*Q296</f>
        <v>0</v>
      </c>
      <c r="U296" s="184">
        <f t="shared" ref="U296" si="268">S296+T296</f>
        <v>0</v>
      </c>
      <c r="V296" s="200"/>
      <c r="X296" s="60"/>
    </row>
    <row r="297" spans="1:24" s="59" customFormat="1" ht="28.5" customHeight="1" outlineLevel="1">
      <c r="A297" s="66" t="s">
        <v>285</v>
      </c>
      <c r="B297" s="202"/>
      <c r="C297" s="307" t="s">
        <v>16</v>
      </c>
      <c r="D297" s="310"/>
      <c r="E297" s="23" t="s">
        <v>4</v>
      </c>
      <c r="F297" s="92">
        <v>54.41</v>
      </c>
      <c r="G297" s="92">
        <v>25.6</v>
      </c>
      <c r="H297" s="92">
        <v>54.55</v>
      </c>
      <c r="I297" s="92">
        <v>1.61</v>
      </c>
      <c r="J297" s="92">
        <v>9.51</v>
      </c>
      <c r="K297" s="92">
        <v>10.050000000000001</v>
      </c>
      <c r="L297" s="92"/>
      <c r="M297" s="92"/>
      <c r="N297" s="114"/>
      <c r="O297" s="99">
        <f t="shared" si="264"/>
        <v>155.72999999999999</v>
      </c>
      <c r="P297" s="188"/>
      <c r="Q297" s="189"/>
      <c r="R297" s="184"/>
      <c r="S297" s="182"/>
      <c r="T297" s="185"/>
      <c r="U297" s="184"/>
      <c r="V297" s="200"/>
      <c r="X297" s="60"/>
    </row>
    <row r="298" spans="1:24" s="59" customFormat="1" ht="28.5" customHeight="1" outlineLevel="1">
      <c r="A298" s="66" t="s">
        <v>286</v>
      </c>
      <c r="B298" s="202"/>
      <c r="C298" s="307" t="s">
        <v>18</v>
      </c>
      <c r="D298" s="310"/>
      <c r="E298" s="23" t="s">
        <v>4</v>
      </c>
      <c r="F298" s="92">
        <v>0.98</v>
      </c>
      <c r="G298" s="92">
        <v>0.5</v>
      </c>
      <c r="H298" s="92">
        <v>0.28999999999999998</v>
      </c>
      <c r="I298" s="92"/>
      <c r="J298" s="92">
        <v>0.28999999999999998</v>
      </c>
      <c r="K298" s="92"/>
      <c r="L298" s="92"/>
      <c r="M298" s="92"/>
      <c r="N298" s="114"/>
      <c r="O298" s="99">
        <f t="shared" si="264"/>
        <v>2.06</v>
      </c>
      <c r="P298" s="188"/>
      <c r="Q298" s="106"/>
      <c r="R298" s="69"/>
      <c r="S298" s="70"/>
      <c r="T298" s="71"/>
      <c r="U298" s="69"/>
      <c r="V298" s="200"/>
      <c r="X298" s="60"/>
    </row>
    <row r="299" spans="1:24" s="59" customFormat="1" ht="28.5" customHeight="1" outlineLevel="1">
      <c r="A299" s="66" t="s">
        <v>287</v>
      </c>
      <c r="B299" s="202"/>
      <c r="C299" s="307" t="s">
        <v>90</v>
      </c>
      <c r="D299" s="266">
        <v>50.4</v>
      </c>
      <c r="E299" s="23" t="s">
        <v>30</v>
      </c>
      <c r="F299" s="400">
        <f>56.25*D299</f>
        <v>2835</v>
      </c>
      <c r="G299" s="400">
        <f>24.34*D299</f>
        <v>1227</v>
      </c>
      <c r="H299" s="400">
        <f>55.07*D299</f>
        <v>2776</v>
      </c>
      <c r="I299" s="400">
        <f>1.27*D299</f>
        <v>64</v>
      </c>
      <c r="J299" s="400">
        <f>9.79*D299</f>
        <v>493</v>
      </c>
      <c r="K299" s="400">
        <f>10.18*D299</f>
        <v>513</v>
      </c>
      <c r="L299" s="92"/>
      <c r="M299" s="92"/>
      <c r="N299" s="114"/>
      <c r="O299" s="99">
        <f t="shared" si="264"/>
        <v>7908</v>
      </c>
      <c r="P299" s="188"/>
      <c r="Q299" s="106"/>
      <c r="R299" s="69"/>
      <c r="S299" s="70"/>
      <c r="T299" s="71"/>
      <c r="U299" s="69"/>
      <c r="V299" s="200"/>
      <c r="X299" s="60"/>
    </row>
    <row r="300" spans="1:24" s="59" customFormat="1" ht="28.5" customHeight="1" outlineLevel="1">
      <c r="A300" s="66" t="s">
        <v>288</v>
      </c>
      <c r="B300" s="202"/>
      <c r="C300" s="308" t="s">
        <v>59</v>
      </c>
      <c r="D300" s="311">
        <v>2.3E-2</v>
      </c>
      <c r="E300" s="23" t="s">
        <v>34</v>
      </c>
      <c r="F300" s="92">
        <f>58.3*D300</f>
        <v>1.34</v>
      </c>
      <c r="G300" s="92">
        <f>24.34*D300</f>
        <v>0.56000000000000005</v>
      </c>
      <c r="H300" s="92">
        <f>55.07*D300</f>
        <v>1.27</v>
      </c>
      <c r="I300" s="92">
        <f>1.27*D300</f>
        <v>0.03</v>
      </c>
      <c r="J300" s="92">
        <f>9.79*D300</f>
        <v>0.23</v>
      </c>
      <c r="K300" s="92">
        <f>12.26*D300</f>
        <v>0.28000000000000003</v>
      </c>
      <c r="L300" s="92"/>
      <c r="M300" s="92"/>
      <c r="N300" s="114"/>
      <c r="O300" s="99">
        <f t="shared" si="264"/>
        <v>3.71</v>
      </c>
      <c r="P300" s="188"/>
      <c r="Q300" s="106"/>
      <c r="R300" s="69"/>
      <c r="S300" s="70"/>
      <c r="T300" s="71"/>
      <c r="U300" s="69"/>
      <c r="V300" s="200"/>
      <c r="X300" s="60"/>
    </row>
    <row r="301" spans="1:24" s="59" customFormat="1" ht="37.5" customHeight="1" outlineLevel="1">
      <c r="A301" s="66" t="s">
        <v>289</v>
      </c>
      <c r="B301" s="202"/>
      <c r="C301" s="231" t="s">
        <v>582</v>
      </c>
      <c r="D301" s="312"/>
      <c r="E301" s="104" t="s">
        <v>4</v>
      </c>
      <c r="F301" s="102"/>
      <c r="G301" s="102"/>
      <c r="H301" s="102"/>
      <c r="I301" s="102">
        <f>I302</f>
        <v>50.09</v>
      </c>
      <c r="J301" s="102">
        <f>J302</f>
        <v>20.93</v>
      </c>
      <c r="K301" s="102">
        <f>K302</f>
        <v>34.520000000000003</v>
      </c>
      <c r="L301" s="102"/>
      <c r="M301" s="102"/>
      <c r="N301" s="121"/>
      <c r="O301" s="190">
        <f t="shared" ref="O301:O305" si="269">SUM(F301:N301)</f>
        <v>105.54</v>
      </c>
      <c r="P301" s="182">
        <f>(SUMPRODUCT(O302:O305,P302:P305)/O301)</f>
        <v>0</v>
      </c>
      <c r="Q301" s="183"/>
      <c r="R301" s="184">
        <f t="shared" ref="R301" si="270">P301+Q301</f>
        <v>0</v>
      </c>
      <c r="S301" s="182">
        <f t="shared" ref="S301" si="271">O301*P301</f>
        <v>0</v>
      </c>
      <c r="T301" s="185">
        <f t="shared" ref="T301" si="272">O301*Q301</f>
        <v>0</v>
      </c>
      <c r="U301" s="184">
        <f t="shared" ref="U301" si="273">S301+T301</f>
        <v>0</v>
      </c>
      <c r="V301" s="200"/>
      <c r="X301" s="60"/>
    </row>
    <row r="302" spans="1:24" s="59" customFormat="1" ht="28.5" customHeight="1" outlineLevel="1">
      <c r="A302" s="66" t="s">
        <v>290</v>
      </c>
      <c r="B302" s="202"/>
      <c r="C302" s="413" t="s">
        <v>18</v>
      </c>
      <c r="D302" s="310"/>
      <c r="E302" s="23" t="s">
        <v>4</v>
      </c>
      <c r="F302" s="92"/>
      <c r="G302" s="92"/>
      <c r="H302" s="92"/>
      <c r="I302" s="92">
        <v>50.09</v>
      </c>
      <c r="J302" s="92">
        <v>20.93</v>
      </c>
      <c r="K302" s="92">
        <v>34.520000000000003</v>
      </c>
      <c r="L302" s="92"/>
      <c r="M302" s="92"/>
      <c r="N302" s="114"/>
      <c r="O302" s="99">
        <f t="shared" si="269"/>
        <v>105.54</v>
      </c>
      <c r="P302" s="188"/>
      <c r="Q302" s="189"/>
      <c r="R302" s="184"/>
      <c r="S302" s="182"/>
      <c r="T302" s="185"/>
      <c r="U302" s="184"/>
      <c r="V302" s="200"/>
      <c r="X302" s="60"/>
    </row>
    <row r="303" spans="1:24" s="59" customFormat="1" ht="28.5" customHeight="1" outlineLevel="1">
      <c r="A303" s="66" t="s">
        <v>291</v>
      </c>
      <c r="B303" s="202"/>
      <c r="C303" s="413" t="s">
        <v>129</v>
      </c>
      <c r="D303" s="310"/>
      <c r="E303" s="23" t="s">
        <v>4</v>
      </c>
      <c r="F303" s="92"/>
      <c r="G303" s="92"/>
      <c r="H303" s="92"/>
      <c r="I303" s="92">
        <f>I302</f>
        <v>50.09</v>
      </c>
      <c r="J303" s="92">
        <f>J302</f>
        <v>20.93</v>
      </c>
      <c r="K303" s="92">
        <f>K302</f>
        <v>34.520000000000003</v>
      </c>
      <c r="L303" s="92"/>
      <c r="M303" s="92"/>
      <c r="N303" s="114"/>
      <c r="O303" s="99">
        <f t="shared" si="269"/>
        <v>105.54</v>
      </c>
      <c r="P303" s="188"/>
      <c r="Q303" s="106"/>
      <c r="R303" s="69"/>
      <c r="S303" s="70"/>
      <c r="T303" s="71"/>
      <c r="U303" s="69"/>
      <c r="V303" s="200"/>
      <c r="X303" s="60"/>
    </row>
    <row r="304" spans="1:24" s="59" customFormat="1" ht="28.5" customHeight="1" outlineLevel="1">
      <c r="A304" s="66" t="s">
        <v>292</v>
      </c>
      <c r="B304" s="202"/>
      <c r="C304" s="307" t="s">
        <v>90</v>
      </c>
      <c r="D304" s="266">
        <v>50.4</v>
      </c>
      <c r="E304" s="23" t="s">
        <v>30</v>
      </c>
      <c r="F304" s="400"/>
      <c r="G304" s="400"/>
      <c r="H304" s="400"/>
      <c r="I304" s="400">
        <f>50.5*D304</f>
        <v>2545</v>
      </c>
      <c r="J304" s="400">
        <f>21.1*D304</f>
        <v>1063</v>
      </c>
      <c r="K304" s="400">
        <f>34.44*D304</f>
        <v>1736</v>
      </c>
      <c r="L304" s="92"/>
      <c r="M304" s="92"/>
      <c r="N304" s="114"/>
      <c r="O304" s="99">
        <f t="shared" si="269"/>
        <v>5344</v>
      </c>
      <c r="P304" s="188"/>
      <c r="Q304" s="106"/>
      <c r="R304" s="69"/>
      <c r="S304" s="70"/>
      <c r="T304" s="71"/>
      <c r="U304" s="69"/>
      <c r="V304" s="200"/>
      <c r="X304" s="60"/>
    </row>
    <row r="305" spans="1:24" s="59" customFormat="1" ht="28.5" customHeight="1" outlineLevel="1">
      <c r="A305" s="66" t="s">
        <v>508</v>
      </c>
      <c r="B305" s="202"/>
      <c r="C305" s="308" t="s">
        <v>59</v>
      </c>
      <c r="D305" s="311">
        <v>2.3E-2</v>
      </c>
      <c r="E305" s="23" t="s">
        <v>34</v>
      </c>
      <c r="F305" s="92"/>
      <c r="G305" s="92"/>
      <c r="H305" s="92"/>
      <c r="I305" s="418">
        <f>50.5*D305</f>
        <v>1.1619999999999999</v>
      </c>
      <c r="J305" s="418">
        <f>21.1*D305</f>
        <v>0.48499999999999999</v>
      </c>
      <c r="K305" s="418">
        <f>34.44*D305</f>
        <v>0.79200000000000004</v>
      </c>
      <c r="L305" s="92"/>
      <c r="M305" s="92"/>
      <c r="N305" s="114"/>
      <c r="O305" s="99">
        <f t="shared" si="269"/>
        <v>2.44</v>
      </c>
      <c r="P305" s="188"/>
      <c r="Q305" s="106"/>
      <c r="R305" s="69"/>
      <c r="S305" s="70"/>
      <c r="T305" s="71"/>
      <c r="U305" s="69"/>
      <c r="V305" s="200"/>
      <c r="X305" s="60"/>
    </row>
    <row r="306" spans="1:24" s="59" customFormat="1" ht="32.25" customHeight="1" outlineLevel="1">
      <c r="A306" s="66" t="s">
        <v>509</v>
      </c>
      <c r="B306" s="202"/>
      <c r="C306" s="231" t="s">
        <v>562</v>
      </c>
      <c r="D306" s="312"/>
      <c r="E306" s="104" t="s">
        <v>4</v>
      </c>
      <c r="F306" s="102">
        <v>7.78</v>
      </c>
      <c r="G306" s="102">
        <v>5.31</v>
      </c>
      <c r="H306" s="102"/>
      <c r="I306" s="102"/>
      <c r="J306" s="102"/>
      <c r="K306" s="102"/>
      <c r="L306" s="102"/>
      <c r="M306" s="102"/>
      <c r="N306" s="121"/>
      <c r="O306" s="190">
        <f t="shared" ref="O306:O309" si="274">SUM(F306:N306)</f>
        <v>13.09</v>
      </c>
      <c r="P306" s="182">
        <f>(SUMPRODUCT(O307:O309,P307:P309)/O306)</f>
        <v>0</v>
      </c>
      <c r="Q306" s="183"/>
      <c r="R306" s="184">
        <f t="shared" ref="R306" si="275">P306+Q306</f>
        <v>0</v>
      </c>
      <c r="S306" s="182">
        <f t="shared" ref="S306" si="276">O306*P306</f>
        <v>0</v>
      </c>
      <c r="T306" s="185">
        <f t="shared" ref="T306" si="277">O306*Q306</f>
        <v>0</v>
      </c>
      <c r="U306" s="184">
        <f t="shared" ref="U306" si="278">S306+T306</f>
        <v>0</v>
      </c>
      <c r="V306" s="200" t="s">
        <v>506</v>
      </c>
      <c r="X306" s="60"/>
    </row>
    <row r="307" spans="1:24" s="59" customFormat="1" ht="32.25" customHeight="1" outlineLevel="1">
      <c r="A307" s="66" t="s">
        <v>293</v>
      </c>
      <c r="B307" s="202"/>
      <c r="C307" s="307" t="s">
        <v>16</v>
      </c>
      <c r="D307" s="310"/>
      <c r="E307" s="23" t="s">
        <v>4</v>
      </c>
      <c r="F307" s="92">
        <v>7.78</v>
      </c>
      <c r="G307" s="92">
        <v>5.31</v>
      </c>
      <c r="H307" s="92"/>
      <c r="I307" s="92"/>
      <c r="J307" s="92"/>
      <c r="K307" s="92"/>
      <c r="L307" s="92"/>
      <c r="M307" s="92"/>
      <c r="N307" s="122"/>
      <c r="O307" s="123">
        <f t="shared" si="274"/>
        <v>13.09</v>
      </c>
      <c r="P307" s="188"/>
      <c r="Q307" s="189"/>
      <c r="R307" s="184"/>
      <c r="S307" s="182"/>
      <c r="T307" s="185"/>
      <c r="U307" s="184"/>
      <c r="V307" s="200"/>
      <c r="X307" s="60"/>
    </row>
    <row r="308" spans="1:24" s="59" customFormat="1" ht="32.25" customHeight="1" outlineLevel="1">
      <c r="A308" s="66" t="s">
        <v>294</v>
      </c>
      <c r="B308" s="202"/>
      <c r="C308" s="309" t="s">
        <v>17</v>
      </c>
      <c r="D308" s="266"/>
      <c r="E308" s="23" t="s">
        <v>4</v>
      </c>
      <c r="F308" s="92">
        <v>7.78</v>
      </c>
      <c r="G308" s="92">
        <v>5.31</v>
      </c>
      <c r="H308" s="92"/>
      <c r="I308" s="92"/>
      <c r="J308" s="92"/>
      <c r="K308" s="92"/>
      <c r="L308" s="92"/>
      <c r="M308" s="92"/>
      <c r="N308" s="122"/>
      <c r="O308" s="123">
        <f t="shared" si="274"/>
        <v>13.09</v>
      </c>
      <c r="P308" s="188"/>
      <c r="Q308" s="106"/>
      <c r="R308" s="69"/>
      <c r="S308" s="70"/>
      <c r="T308" s="71"/>
      <c r="U308" s="69"/>
      <c r="V308" s="200"/>
      <c r="X308" s="60"/>
    </row>
    <row r="309" spans="1:24" s="59" customFormat="1" ht="32.25" customHeight="1" outlineLevel="1">
      <c r="A309" s="66" t="s">
        <v>295</v>
      </c>
      <c r="B309" s="235">
        <v>4100017642</v>
      </c>
      <c r="C309" s="157" t="s">
        <v>108</v>
      </c>
      <c r="D309" s="249"/>
      <c r="E309" s="23" t="s">
        <v>4</v>
      </c>
      <c r="F309" s="92">
        <v>7.78</v>
      </c>
      <c r="G309" s="92">
        <v>5.31</v>
      </c>
      <c r="H309" s="92"/>
      <c r="I309" s="92"/>
      <c r="J309" s="92"/>
      <c r="K309" s="92"/>
      <c r="L309" s="92"/>
      <c r="M309" s="92"/>
      <c r="N309" s="122"/>
      <c r="O309" s="123">
        <f t="shared" si="274"/>
        <v>13.09</v>
      </c>
      <c r="P309" s="188"/>
      <c r="Q309" s="106"/>
      <c r="R309" s="69"/>
      <c r="S309" s="70"/>
      <c r="T309" s="71"/>
      <c r="U309" s="69"/>
      <c r="V309" s="397" t="s">
        <v>405</v>
      </c>
      <c r="X309" s="60"/>
    </row>
    <row r="310" spans="1:24" s="59" customFormat="1" ht="49.5" customHeight="1" outlineLevel="1">
      <c r="A310" s="66" t="s">
        <v>296</v>
      </c>
      <c r="B310" s="202"/>
      <c r="C310" s="231" t="s">
        <v>569</v>
      </c>
      <c r="D310" s="312"/>
      <c r="E310" s="104" t="s">
        <v>4</v>
      </c>
      <c r="F310" s="102">
        <v>7.79</v>
      </c>
      <c r="G310" s="102"/>
      <c r="H310" s="102">
        <v>6.83</v>
      </c>
      <c r="I310" s="102"/>
      <c r="J310" s="102"/>
      <c r="K310" s="102"/>
      <c r="L310" s="102"/>
      <c r="M310" s="102"/>
      <c r="N310" s="121"/>
      <c r="O310" s="190">
        <f t="shared" ref="O310:O313" si="279">SUM(F310:N310)</f>
        <v>14.62</v>
      </c>
      <c r="P310" s="182">
        <f>(SUMPRODUCT(O311:O313,P311:P313)/O310)</f>
        <v>0</v>
      </c>
      <c r="Q310" s="183"/>
      <c r="R310" s="184">
        <f t="shared" ref="R310" si="280">P310+Q310</f>
        <v>0</v>
      </c>
      <c r="S310" s="182">
        <f t="shared" ref="S310" si="281">O310*P310</f>
        <v>0</v>
      </c>
      <c r="T310" s="185">
        <f t="shared" ref="T310" si="282">O310*Q310</f>
        <v>0</v>
      </c>
      <c r="U310" s="184">
        <f t="shared" ref="U310" si="283">S310+T310</f>
        <v>0</v>
      </c>
      <c r="V310" s="415" t="s">
        <v>556</v>
      </c>
      <c r="X310" s="60"/>
    </row>
    <row r="311" spans="1:24" s="59" customFormat="1" ht="34.5" customHeight="1" outlineLevel="1">
      <c r="A311" s="66" t="s">
        <v>297</v>
      </c>
      <c r="B311" s="202"/>
      <c r="C311" s="307" t="s">
        <v>16</v>
      </c>
      <c r="D311" s="310"/>
      <c r="E311" s="23" t="s">
        <v>4</v>
      </c>
      <c r="F311" s="92">
        <v>7.79</v>
      </c>
      <c r="G311" s="92"/>
      <c r="H311" s="92">
        <v>6.83</v>
      </c>
      <c r="I311" s="92"/>
      <c r="J311" s="92"/>
      <c r="K311" s="92"/>
      <c r="L311" s="92"/>
      <c r="M311" s="92"/>
      <c r="N311" s="122"/>
      <c r="O311" s="123">
        <f t="shared" si="279"/>
        <v>14.62</v>
      </c>
      <c r="P311" s="188"/>
      <c r="Q311" s="189"/>
      <c r="R311" s="184"/>
      <c r="S311" s="182"/>
      <c r="T311" s="185"/>
      <c r="U311" s="184"/>
      <c r="V311" s="200"/>
      <c r="X311" s="60"/>
    </row>
    <row r="312" spans="1:24" s="59" customFormat="1" ht="34.5" customHeight="1" outlineLevel="1">
      <c r="A312" s="66" t="s">
        <v>510</v>
      </c>
      <c r="B312" s="202"/>
      <c r="C312" s="307" t="s">
        <v>90</v>
      </c>
      <c r="D312" s="266">
        <v>50.4</v>
      </c>
      <c r="E312" s="23" t="s">
        <v>30</v>
      </c>
      <c r="F312" s="400">
        <f>7.79*D312</f>
        <v>393</v>
      </c>
      <c r="G312" s="92"/>
      <c r="H312" s="400">
        <f>6.83*D312</f>
        <v>344</v>
      </c>
      <c r="I312" s="92"/>
      <c r="J312" s="92"/>
      <c r="K312" s="400"/>
      <c r="L312" s="92"/>
      <c r="M312" s="92"/>
      <c r="N312" s="122"/>
      <c r="O312" s="123">
        <f t="shared" si="279"/>
        <v>737</v>
      </c>
      <c r="P312" s="188"/>
      <c r="Q312" s="106"/>
      <c r="R312" s="69"/>
      <c r="S312" s="70"/>
      <c r="T312" s="71"/>
      <c r="U312" s="69"/>
      <c r="V312" s="200"/>
      <c r="X312" s="60"/>
    </row>
    <row r="313" spans="1:24" s="59" customFormat="1" ht="34.5" customHeight="1" outlineLevel="1">
      <c r="A313" s="66" t="s">
        <v>511</v>
      </c>
      <c r="B313" s="202"/>
      <c r="C313" s="308" t="s">
        <v>59</v>
      </c>
      <c r="D313" s="311">
        <v>2.3E-2</v>
      </c>
      <c r="E313" s="23" t="s">
        <v>34</v>
      </c>
      <c r="F313" s="92">
        <f>7.79*D313</f>
        <v>0.18</v>
      </c>
      <c r="G313" s="92"/>
      <c r="H313" s="92">
        <f>6.83*D313</f>
        <v>0.16</v>
      </c>
      <c r="I313" s="92"/>
      <c r="J313" s="92"/>
      <c r="K313" s="92"/>
      <c r="L313" s="92"/>
      <c r="M313" s="92"/>
      <c r="N313" s="122"/>
      <c r="O313" s="123">
        <f t="shared" si="279"/>
        <v>0.34</v>
      </c>
      <c r="P313" s="188"/>
      <c r="Q313" s="106"/>
      <c r="R313" s="69"/>
      <c r="S313" s="70"/>
      <c r="T313" s="71"/>
      <c r="U313" s="69"/>
      <c r="V313" s="200"/>
      <c r="X313" s="60"/>
    </row>
    <row r="314" spans="1:24" s="59" customFormat="1" ht="46.5" customHeight="1" outlineLevel="1">
      <c r="A314" s="66" t="s">
        <v>299</v>
      </c>
      <c r="B314" s="202"/>
      <c r="C314" s="231" t="s">
        <v>585</v>
      </c>
      <c r="D314" s="312"/>
      <c r="E314" s="104" t="s">
        <v>4</v>
      </c>
      <c r="F314" s="102"/>
      <c r="G314" s="102"/>
      <c r="H314" s="102"/>
      <c r="I314" s="102">
        <f>I315</f>
        <v>32.01</v>
      </c>
      <c r="J314" s="102">
        <f>J315</f>
        <v>7.87</v>
      </c>
      <c r="K314" s="102">
        <f>K315</f>
        <v>33.340000000000003</v>
      </c>
      <c r="L314" s="102"/>
      <c r="M314" s="102"/>
      <c r="N314" s="121"/>
      <c r="O314" s="190">
        <f t="shared" ref="O314:O350" si="284">SUM(F314:N314)</f>
        <v>73.22</v>
      </c>
      <c r="P314" s="182">
        <f>(SUMPRODUCT(O315:O318,P315:P318)/O314)</f>
        <v>0</v>
      </c>
      <c r="Q314" s="183"/>
      <c r="R314" s="184">
        <f t="shared" ref="R314" si="285">P314+Q314</f>
        <v>0</v>
      </c>
      <c r="S314" s="182">
        <f t="shared" ref="S314" si="286">O314*P314</f>
        <v>0</v>
      </c>
      <c r="T314" s="185">
        <f t="shared" ref="T314" si="287">O314*Q314</f>
        <v>0</v>
      </c>
      <c r="U314" s="184">
        <f t="shared" ref="U314" si="288">S314+T314</f>
        <v>0</v>
      </c>
      <c r="V314" s="415" t="s">
        <v>505</v>
      </c>
      <c r="X314" s="60"/>
    </row>
    <row r="315" spans="1:24" s="59" customFormat="1" ht="34.5" customHeight="1" outlineLevel="1">
      <c r="A315" s="66" t="s">
        <v>300</v>
      </c>
      <c r="B315" s="202"/>
      <c r="C315" s="413" t="s">
        <v>18</v>
      </c>
      <c r="D315" s="310"/>
      <c r="E315" s="23" t="s">
        <v>4</v>
      </c>
      <c r="F315" s="92"/>
      <c r="G315" s="92"/>
      <c r="H315" s="92"/>
      <c r="I315" s="92">
        <v>32.01</v>
      </c>
      <c r="J315" s="92">
        <v>7.87</v>
      </c>
      <c r="K315" s="92">
        <v>33.340000000000003</v>
      </c>
      <c r="L315" s="92"/>
      <c r="M315" s="92"/>
      <c r="N315" s="122"/>
      <c r="O315" s="123">
        <f t="shared" si="284"/>
        <v>73.22</v>
      </c>
      <c r="P315" s="188"/>
      <c r="Q315" s="189"/>
      <c r="R315" s="184"/>
      <c r="S315" s="182"/>
      <c r="T315" s="185"/>
      <c r="U315" s="184"/>
      <c r="V315" s="200"/>
      <c r="X315" s="60"/>
    </row>
    <row r="316" spans="1:24" s="59" customFormat="1" ht="34.5" customHeight="1" outlineLevel="1">
      <c r="A316" s="66" t="s">
        <v>301</v>
      </c>
      <c r="B316" s="205"/>
      <c r="C316" s="413" t="s">
        <v>129</v>
      </c>
      <c r="D316" s="310"/>
      <c r="E316" s="256" t="s">
        <v>4</v>
      </c>
      <c r="F316" s="192"/>
      <c r="G316" s="192"/>
      <c r="H316" s="192"/>
      <c r="I316" s="192">
        <f>I315</f>
        <v>32.01</v>
      </c>
      <c r="J316" s="192">
        <f>J315</f>
        <v>7.87</v>
      </c>
      <c r="K316" s="192">
        <f>K315</f>
        <v>33.340000000000003</v>
      </c>
      <c r="L316" s="192"/>
      <c r="M316" s="192"/>
      <c r="N316" s="405"/>
      <c r="O316" s="123">
        <f t="shared" si="284"/>
        <v>73.22</v>
      </c>
      <c r="P316" s="188"/>
      <c r="Q316" s="252"/>
      <c r="R316" s="241"/>
      <c r="S316" s="242"/>
      <c r="T316" s="243"/>
      <c r="U316" s="241"/>
      <c r="V316" s="200"/>
      <c r="X316" s="60"/>
    </row>
    <row r="317" spans="1:24" s="59" customFormat="1" ht="34.5" customHeight="1" outlineLevel="1">
      <c r="A317" s="66" t="s">
        <v>302</v>
      </c>
      <c r="B317" s="202"/>
      <c r="C317" s="307" t="s">
        <v>90</v>
      </c>
      <c r="D317" s="266">
        <v>50.4</v>
      </c>
      <c r="E317" s="23" t="s">
        <v>30</v>
      </c>
      <c r="F317" s="400"/>
      <c r="G317" s="92"/>
      <c r="H317" s="400"/>
      <c r="I317" s="92">
        <f>32.01*D317</f>
        <v>1613.3</v>
      </c>
      <c r="J317" s="92">
        <f>7.87*D317</f>
        <v>396.65</v>
      </c>
      <c r="K317" s="92">
        <f>33.34*D317</f>
        <v>1680.34</v>
      </c>
      <c r="L317" s="92"/>
      <c r="M317" s="92"/>
      <c r="N317" s="122"/>
      <c r="O317" s="123">
        <f t="shared" si="284"/>
        <v>3690.29</v>
      </c>
      <c r="P317" s="188"/>
      <c r="Q317" s="106"/>
      <c r="R317" s="69"/>
      <c r="S317" s="70"/>
      <c r="T317" s="71"/>
      <c r="U317" s="69"/>
      <c r="V317" s="200"/>
      <c r="X317" s="60"/>
    </row>
    <row r="318" spans="1:24" s="59" customFormat="1" ht="34.5" customHeight="1" outlineLevel="1">
      <c r="A318" s="66" t="s">
        <v>303</v>
      </c>
      <c r="B318" s="202"/>
      <c r="C318" s="308" t="s">
        <v>59</v>
      </c>
      <c r="D318" s="311">
        <v>2.3E-2</v>
      </c>
      <c r="E318" s="23" t="s">
        <v>34</v>
      </c>
      <c r="F318" s="92"/>
      <c r="G318" s="92"/>
      <c r="H318" s="92"/>
      <c r="I318" s="92">
        <f>32.01*D318</f>
        <v>0.74</v>
      </c>
      <c r="J318" s="92">
        <f>7.87*D318</f>
        <v>0.18</v>
      </c>
      <c r="K318" s="92">
        <f>33.34*D318</f>
        <v>0.77</v>
      </c>
      <c r="L318" s="92"/>
      <c r="M318" s="92"/>
      <c r="N318" s="122"/>
      <c r="O318" s="123">
        <f t="shared" si="284"/>
        <v>1.69</v>
      </c>
      <c r="P318" s="188"/>
      <c r="Q318" s="106"/>
      <c r="R318" s="69"/>
      <c r="S318" s="70"/>
      <c r="T318" s="71"/>
      <c r="U318" s="69"/>
      <c r="V318" s="200"/>
      <c r="X318" s="60"/>
    </row>
    <row r="319" spans="1:24" s="59" customFormat="1" ht="37.5" customHeight="1" outlineLevel="1">
      <c r="A319" s="66" t="s">
        <v>304</v>
      </c>
      <c r="B319" s="202"/>
      <c r="C319" s="231" t="s">
        <v>354</v>
      </c>
      <c r="D319" s="313"/>
      <c r="E319" s="132" t="s">
        <v>4</v>
      </c>
      <c r="F319" s="417">
        <f>F320</f>
        <v>62.9</v>
      </c>
      <c r="G319" s="417">
        <f t="shared" ref="G319:K319" si="289">G320</f>
        <v>32.229999999999997</v>
      </c>
      <c r="H319" s="417">
        <f t="shared" si="289"/>
        <v>54.68</v>
      </c>
      <c r="I319" s="417">
        <f t="shared" si="289"/>
        <v>80.599999999999994</v>
      </c>
      <c r="J319" s="417">
        <f t="shared" si="289"/>
        <v>34.450000000000003</v>
      </c>
      <c r="K319" s="417">
        <f t="shared" si="289"/>
        <v>73.03</v>
      </c>
      <c r="L319" s="192"/>
      <c r="M319" s="192"/>
      <c r="N319" s="122"/>
      <c r="O319" s="190">
        <f t="shared" si="284"/>
        <v>337.89</v>
      </c>
      <c r="P319" s="182">
        <f>P320*O320/O319</f>
        <v>0</v>
      </c>
      <c r="Q319" s="183"/>
      <c r="R319" s="184">
        <f t="shared" ref="R319" si="290">P319+Q319</f>
        <v>0</v>
      </c>
      <c r="S319" s="182">
        <f>O319*P319</f>
        <v>0</v>
      </c>
      <c r="T319" s="185">
        <f>O319*Q319</f>
        <v>0</v>
      </c>
      <c r="U319" s="184">
        <f>S319+T319</f>
        <v>0</v>
      </c>
      <c r="V319" s="200"/>
      <c r="X319" s="60"/>
    </row>
    <row r="320" spans="1:24" s="59" customFormat="1" ht="37.5" customHeight="1" outlineLevel="1">
      <c r="A320" s="66" t="s">
        <v>305</v>
      </c>
      <c r="B320" s="203">
        <v>4100017642</v>
      </c>
      <c r="C320" s="157" t="s">
        <v>108</v>
      </c>
      <c r="D320" s="314"/>
      <c r="E320" s="116" t="s">
        <v>4</v>
      </c>
      <c r="F320" s="414">
        <v>62.9</v>
      </c>
      <c r="G320" s="414">
        <v>32.229999999999997</v>
      </c>
      <c r="H320" s="414">
        <v>54.68</v>
      </c>
      <c r="I320" s="414">
        <v>80.599999999999994</v>
      </c>
      <c r="J320" s="414">
        <v>34.450000000000003</v>
      </c>
      <c r="K320" s="414">
        <v>73.03</v>
      </c>
      <c r="L320" s="192"/>
      <c r="M320" s="192"/>
      <c r="N320" s="122"/>
      <c r="O320" s="123">
        <f t="shared" ref="O320" si="291">SUM(F320:N320)</f>
        <v>337.89</v>
      </c>
      <c r="P320" s="186"/>
      <c r="Q320" s="187"/>
      <c r="R320" s="184"/>
      <c r="S320" s="182"/>
      <c r="T320" s="185"/>
      <c r="U320" s="184"/>
      <c r="V320" s="397" t="s">
        <v>405</v>
      </c>
      <c r="X320" s="60"/>
    </row>
    <row r="321" spans="1:24" s="59" customFormat="1" ht="48.75" customHeight="1" outlineLevel="1">
      <c r="A321" s="66" t="s">
        <v>306</v>
      </c>
      <c r="B321" s="202"/>
      <c r="C321" s="90" t="s">
        <v>143</v>
      </c>
      <c r="D321" s="315"/>
      <c r="E321" s="107" t="s">
        <v>4</v>
      </c>
      <c r="F321" s="102">
        <v>160.41</v>
      </c>
      <c r="G321" s="102">
        <v>50.67</v>
      </c>
      <c r="H321" s="102">
        <v>277.47000000000003</v>
      </c>
      <c r="I321" s="102">
        <v>105.88</v>
      </c>
      <c r="J321" s="102">
        <v>43.93</v>
      </c>
      <c r="K321" s="102">
        <v>81.239999999999995</v>
      </c>
      <c r="L321" s="18"/>
      <c r="M321" s="18"/>
      <c r="N321" s="114"/>
      <c r="O321" s="190">
        <f t="shared" si="284"/>
        <v>719.6</v>
      </c>
      <c r="P321" s="182">
        <f>(SUMPRODUCT(O322:O326,P322:P326)/O321)</f>
        <v>0</v>
      </c>
      <c r="Q321" s="183"/>
      <c r="R321" s="184">
        <f t="shared" ref="R321" si="292">P321+Q321</f>
        <v>0</v>
      </c>
      <c r="S321" s="182">
        <f t="shared" ref="S321" si="293">O321*P321</f>
        <v>0</v>
      </c>
      <c r="T321" s="185">
        <f t="shared" ref="T321" si="294">O321*Q321</f>
        <v>0</v>
      </c>
      <c r="U321" s="184">
        <f t="shared" ref="U321" si="295">S321+T321</f>
        <v>0</v>
      </c>
      <c r="V321" s="200"/>
      <c r="X321" s="60"/>
    </row>
    <row r="322" spans="1:24" s="59" customFormat="1" ht="37.5" customHeight="1" outlineLevel="1">
      <c r="A322" s="66" t="s">
        <v>167</v>
      </c>
      <c r="B322" s="204">
        <v>4100027470</v>
      </c>
      <c r="C322" s="194" t="s">
        <v>111</v>
      </c>
      <c r="D322" s="19">
        <v>50.4</v>
      </c>
      <c r="E322" s="19" t="s">
        <v>30</v>
      </c>
      <c r="F322" s="92"/>
      <c r="G322" s="92"/>
      <c r="H322" s="92"/>
      <c r="I322" s="400">
        <f>105.88*D322</f>
        <v>5336</v>
      </c>
      <c r="J322" s="400">
        <f>43.93*D322</f>
        <v>2214</v>
      </c>
      <c r="K322" s="92"/>
      <c r="L322" s="92"/>
      <c r="M322" s="92"/>
      <c r="N322" s="122"/>
      <c r="O322" s="123">
        <f t="shared" si="284"/>
        <v>7550</v>
      </c>
      <c r="P322" s="188"/>
      <c r="Q322" s="106"/>
      <c r="R322" s="69"/>
      <c r="S322" s="70"/>
      <c r="T322" s="71"/>
      <c r="U322" s="69"/>
      <c r="V322" s="200"/>
      <c r="X322" s="60"/>
    </row>
    <row r="323" spans="1:24" s="59" customFormat="1" ht="37.5" customHeight="1" outlineLevel="1">
      <c r="A323" s="66" t="s">
        <v>307</v>
      </c>
      <c r="B323" s="204">
        <v>4100025575</v>
      </c>
      <c r="C323" s="194" t="s">
        <v>112</v>
      </c>
      <c r="D323" s="19">
        <v>50.4</v>
      </c>
      <c r="E323" s="19" t="s">
        <v>30</v>
      </c>
      <c r="F323" s="92"/>
      <c r="G323" s="92"/>
      <c r="H323" s="400">
        <f>277.47*D323</f>
        <v>13984</v>
      </c>
      <c r="I323" s="92"/>
      <c r="J323" s="92"/>
      <c r="K323" s="400">
        <f>81.24*D323</f>
        <v>4094</v>
      </c>
      <c r="L323" s="92"/>
      <c r="M323" s="92"/>
      <c r="N323" s="122"/>
      <c r="O323" s="123">
        <f t="shared" si="284"/>
        <v>18078</v>
      </c>
      <c r="P323" s="188"/>
      <c r="Q323" s="106"/>
      <c r="R323" s="69"/>
      <c r="S323" s="70"/>
      <c r="T323" s="71"/>
      <c r="U323" s="69"/>
      <c r="V323" s="200"/>
      <c r="X323" s="60"/>
    </row>
    <row r="324" spans="1:24" s="59" customFormat="1" ht="37.5" customHeight="1" outlineLevel="1">
      <c r="A324" s="66" t="s">
        <v>308</v>
      </c>
      <c r="B324" s="204">
        <v>4100025823</v>
      </c>
      <c r="C324" s="194" t="s">
        <v>116</v>
      </c>
      <c r="D324" s="19">
        <v>50.4</v>
      </c>
      <c r="E324" s="19" t="s">
        <v>30</v>
      </c>
      <c r="F324" s="400">
        <f>154.61*D324</f>
        <v>7792</v>
      </c>
      <c r="G324" s="400">
        <f>50.67*D324</f>
        <v>2554</v>
      </c>
      <c r="H324" s="92"/>
      <c r="I324" s="92"/>
      <c r="J324" s="92"/>
      <c r="K324" s="92"/>
      <c r="L324" s="92"/>
      <c r="M324" s="92"/>
      <c r="N324" s="122"/>
      <c r="O324" s="123">
        <f t="shared" si="284"/>
        <v>10346</v>
      </c>
      <c r="P324" s="188"/>
      <c r="Q324" s="106"/>
      <c r="R324" s="69"/>
      <c r="S324" s="70"/>
      <c r="T324" s="71"/>
      <c r="U324" s="69"/>
      <c r="V324" s="200"/>
      <c r="X324" s="60"/>
    </row>
    <row r="325" spans="1:24" s="59" customFormat="1" ht="37.5" customHeight="1" outlineLevel="1">
      <c r="A325" s="66" t="s">
        <v>309</v>
      </c>
      <c r="B325" s="204">
        <v>4100027693</v>
      </c>
      <c r="C325" s="194" t="s">
        <v>113</v>
      </c>
      <c r="D325" s="19">
        <v>50.4</v>
      </c>
      <c r="E325" s="19" t="s">
        <v>30</v>
      </c>
      <c r="F325" s="400">
        <f>5.8*D325</f>
        <v>292</v>
      </c>
      <c r="G325" s="92"/>
      <c r="H325" s="92"/>
      <c r="I325" s="92"/>
      <c r="J325" s="92"/>
      <c r="K325" s="92"/>
      <c r="L325" s="92"/>
      <c r="M325" s="92"/>
      <c r="N325" s="122"/>
      <c r="O325" s="123">
        <f t="shared" si="284"/>
        <v>292</v>
      </c>
      <c r="P325" s="188"/>
      <c r="Q325" s="106"/>
      <c r="R325" s="69"/>
      <c r="S325" s="70"/>
      <c r="T325" s="71"/>
      <c r="U325" s="69"/>
      <c r="V325" s="200"/>
      <c r="X325" s="60"/>
    </row>
    <row r="326" spans="1:24" s="59" customFormat="1" ht="37.5" customHeight="1" outlineLevel="1">
      <c r="A326" s="66" t="s">
        <v>512</v>
      </c>
      <c r="B326" s="202"/>
      <c r="C326" s="308" t="s">
        <v>32</v>
      </c>
      <c r="D326" s="249">
        <v>51</v>
      </c>
      <c r="E326" s="23" t="s">
        <v>31</v>
      </c>
      <c r="F326" s="92">
        <f>160.41*D326</f>
        <v>8180.91</v>
      </c>
      <c r="G326" s="92">
        <f>50.67*D326</f>
        <v>2584.17</v>
      </c>
      <c r="H326" s="92">
        <f>277.47*D326</f>
        <v>14150.97</v>
      </c>
      <c r="I326" s="92">
        <f>105.88*D326</f>
        <v>5399.88</v>
      </c>
      <c r="J326" s="92">
        <f>43.93*D326</f>
        <v>2240.4299999999998</v>
      </c>
      <c r="K326" s="92">
        <f>81.24*D326</f>
        <v>4143.24</v>
      </c>
      <c r="L326" s="92"/>
      <c r="M326" s="92"/>
      <c r="N326" s="122"/>
      <c r="O326" s="123">
        <f t="shared" si="284"/>
        <v>36699.599999999999</v>
      </c>
      <c r="P326" s="188"/>
      <c r="Q326" s="106"/>
      <c r="R326" s="69"/>
      <c r="S326" s="70"/>
      <c r="T326" s="71"/>
      <c r="U326" s="69"/>
      <c r="V326" s="200"/>
      <c r="X326" s="60"/>
    </row>
    <row r="327" spans="1:24" s="59" customFormat="1" ht="48.75" customHeight="1" outlineLevel="1">
      <c r="A327" s="66" t="s">
        <v>310</v>
      </c>
      <c r="B327" s="205"/>
      <c r="C327" s="90" t="s">
        <v>201</v>
      </c>
      <c r="D327" s="315"/>
      <c r="E327" s="107" t="s">
        <v>4</v>
      </c>
      <c r="F327" s="193">
        <v>251.56</v>
      </c>
      <c r="G327" s="193">
        <v>174.97</v>
      </c>
      <c r="H327" s="193">
        <v>641.19000000000005</v>
      </c>
      <c r="I327" s="193">
        <v>261.06</v>
      </c>
      <c r="J327" s="193">
        <v>221.89</v>
      </c>
      <c r="K327" s="193">
        <v>606.95000000000005</v>
      </c>
      <c r="L327" s="238"/>
      <c r="M327" s="238"/>
      <c r="N327" s="237"/>
      <c r="O327" s="190">
        <f t="shared" si="284"/>
        <v>2157.62</v>
      </c>
      <c r="P327" s="182">
        <f>(SUMPRODUCT(O328:O333,P328:P333)/O327)</f>
        <v>0</v>
      </c>
      <c r="Q327" s="183"/>
      <c r="R327" s="184">
        <f t="shared" ref="R327" si="296">P327+Q327</f>
        <v>0</v>
      </c>
      <c r="S327" s="182">
        <f t="shared" ref="S327" si="297">O327*P327</f>
        <v>0</v>
      </c>
      <c r="T327" s="185">
        <f t="shared" ref="T327" si="298">O327*Q327</f>
        <v>0</v>
      </c>
      <c r="U327" s="184">
        <f t="shared" ref="U327" si="299">S327+T327</f>
        <v>0</v>
      </c>
      <c r="V327" s="200"/>
      <c r="X327" s="60"/>
    </row>
    <row r="328" spans="1:24" s="59" customFormat="1" ht="33.75" customHeight="1" outlineLevel="1">
      <c r="A328" s="66" t="s">
        <v>311</v>
      </c>
      <c r="B328" s="205"/>
      <c r="C328" s="309" t="s">
        <v>18</v>
      </c>
      <c r="D328" s="265"/>
      <c r="E328" s="265" t="s">
        <v>4</v>
      </c>
      <c r="F328" s="192">
        <f>196.07+55.49</f>
        <v>251.56</v>
      </c>
      <c r="G328" s="192">
        <f>117.01+57.96</f>
        <v>174.97</v>
      </c>
      <c r="H328" s="192">
        <f>4.32+496.13+140.74</f>
        <v>641.19000000000005</v>
      </c>
      <c r="I328" s="192">
        <f>7.07+253.99</f>
        <v>261.06</v>
      </c>
      <c r="J328" s="192">
        <f>10.42+211.47</f>
        <v>221.89</v>
      </c>
      <c r="K328" s="192">
        <f>599.14+7.81</f>
        <v>606.95000000000005</v>
      </c>
      <c r="L328" s="192"/>
      <c r="M328" s="192"/>
      <c r="N328" s="405"/>
      <c r="O328" s="123">
        <f t="shared" si="284"/>
        <v>2157.62</v>
      </c>
      <c r="P328" s="188"/>
      <c r="Q328" s="106"/>
      <c r="R328" s="69"/>
      <c r="S328" s="70"/>
      <c r="T328" s="71"/>
      <c r="U328" s="69"/>
      <c r="V328" s="200"/>
      <c r="X328" s="60"/>
    </row>
    <row r="329" spans="1:24" s="59" customFormat="1" ht="37.5" customHeight="1" outlineLevel="1">
      <c r="A329" s="66" t="s">
        <v>312</v>
      </c>
      <c r="B329" s="253">
        <v>4100027470</v>
      </c>
      <c r="C329" s="194" t="s">
        <v>111</v>
      </c>
      <c r="D329" s="19">
        <v>50.4</v>
      </c>
      <c r="E329" s="19" t="s">
        <v>30</v>
      </c>
      <c r="F329" s="192"/>
      <c r="G329" s="192"/>
      <c r="H329" s="192"/>
      <c r="I329" s="192">
        <f>299.33*D329</f>
        <v>15086.23</v>
      </c>
      <c r="J329" s="192">
        <f>220.87*D329</f>
        <v>11131.85</v>
      </c>
      <c r="K329" s="192"/>
      <c r="L329" s="192"/>
      <c r="M329" s="192"/>
      <c r="N329" s="405"/>
      <c r="O329" s="123">
        <f t="shared" si="284"/>
        <v>26218.080000000002</v>
      </c>
      <c r="P329" s="188"/>
      <c r="Q329" s="106"/>
      <c r="R329" s="69"/>
      <c r="S329" s="70"/>
      <c r="T329" s="71"/>
      <c r="U329" s="69"/>
      <c r="V329" s="200"/>
      <c r="X329" s="60"/>
    </row>
    <row r="330" spans="1:24" s="59" customFormat="1" ht="37.5" customHeight="1" outlineLevel="1">
      <c r="A330" s="66" t="s">
        <v>313</v>
      </c>
      <c r="B330" s="253">
        <v>4100025575</v>
      </c>
      <c r="C330" s="194" t="s">
        <v>112</v>
      </c>
      <c r="D330" s="19">
        <v>50.4</v>
      </c>
      <c r="E330" s="19" t="s">
        <v>30</v>
      </c>
      <c r="F330" s="192"/>
      <c r="G330" s="192"/>
      <c r="H330" s="192">
        <f>534.7*D330</f>
        <v>26948.880000000001</v>
      </c>
      <c r="I330" s="192"/>
      <c r="J330" s="192"/>
      <c r="K330" s="192">
        <f>657.43*D330</f>
        <v>33134.47</v>
      </c>
      <c r="L330" s="192"/>
      <c r="M330" s="192"/>
      <c r="N330" s="405"/>
      <c r="O330" s="123">
        <f t="shared" si="284"/>
        <v>60083.35</v>
      </c>
      <c r="P330" s="188"/>
      <c r="Q330" s="106"/>
      <c r="R330" s="69"/>
      <c r="S330" s="70"/>
      <c r="T330" s="71"/>
      <c r="U330" s="69"/>
      <c r="V330" s="200"/>
      <c r="X330" s="60"/>
    </row>
    <row r="331" spans="1:24" s="59" customFormat="1" ht="37.5" customHeight="1" outlineLevel="1">
      <c r="A331" s="66" t="s">
        <v>314</v>
      </c>
      <c r="B331" s="253">
        <v>4100025823</v>
      </c>
      <c r="C331" s="194" t="s">
        <v>116</v>
      </c>
      <c r="D331" s="19">
        <v>50.4</v>
      </c>
      <c r="E331" s="19" t="s">
        <v>30</v>
      </c>
      <c r="F331" s="192">
        <f>211.52*D331</f>
        <v>10660.61</v>
      </c>
      <c r="G331" s="192">
        <f>118.94*D331</f>
        <v>5994.58</v>
      </c>
      <c r="H331" s="192">
        <f>8.63*D331</f>
        <v>434.95</v>
      </c>
      <c r="I331" s="192"/>
      <c r="J331" s="192"/>
      <c r="K331" s="192"/>
      <c r="L331" s="192"/>
      <c r="M331" s="192"/>
      <c r="N331" s="405"/>
      <c r="O331" s="123">
        <f t="shared" si="284"/>
        <v>17090.14</v>
      </c>
      <c r="P331" s="188"/>
      <c r="Q331" s="106"/>
      <c r="R331" s="69"/>
      <c r="S331" s="70"/>
      <c r="T331" s="71"/>
      <c r="U331" s="69"/>
      <c r="V331" s="200"/>
      <c r="X331" s="60"/>
    </row>
    <row r="332" spans="1:24" s="59" customFormat="1" ht="37.5" customHeight="1" outlineLevel="1">
      <c r="A332" s="66" t="s">
        <v>315</v>
      </c>
      <c r="B332" s="253">
        <v>4100027693</v>
      </c>
      <c r="C332" s="194" t="s">
        <v>113</v>
      </c>
      <c r="D332" s="19">
        <v>50.4</v>
      </c>
      <c r="E332" s="19" t="s">
        <v>30</v>
      </c>
      <c r="F332" s="192">
        <f>54.37*D332</f>
        <v>2740.25</v>
      </c>
      <c r="G332" s="192">
        <f>57.42*D332</f>
        <v>2893.97</v>
      </c>
      <c r="H332" s="192">
        <f>139.88*D332</f>
        <v>7049.95</v>
      </c>
      <c r="I332" s="192">
        <f>7.07*D332</f>
        <v>356.33</v>
      </c>
      <c r="J332" s="192">
        <v>10.42</v>
      </c>
      <c r="K332" s="192">
        <f>7.81*D332</f>
        <v>393.62</v>
      </c>
      <c r="L332" s="192"/>
      <c r="M332" s="192"/>
      <c r="N332" s="405"/>
      <c r="O332" s="123">
        <f t="shared" si="284"/>
        <v>13444.54</v>
      </c>
      <c r="P332" s="188"/>
      <c r="Q332" s="106"/>
      <c r="R332" s="69"/>
      <c r="S332" s="70"/>
      <c r="T332" s="71"/>
      <c r="U332" s="69"/>
      <c r="V332" s="200"/>
      <c r="X332" s="60"/>
    </row>
    <row r="333" spans="1:24" s="59" customFormat="1" ht="37.5" customHeight="1" outlineLevel="1">
      <c r="A333" s="66" t="s">
        <v>513</v>
      </c>
      <c r="B333" s="205"/>
      <c r="C333" s="308" t="s">
        <v>32</v>
      </c>
      <c r="D333" s="249">
        <v>51</v>
      </c>
      <c r="E333" s="256" t="s">
        <v>31</v>
      </c>
      <c r="F333" s="192">
        <f>265.89*D333</f>
        <v>13560.39</v>
      </c>
      <c r="G333" s="192">
        <f>176.36*D333</f>
        <v>8994.36</v>
      </c>
      <c r="H333" s="192">
        <f>148.51*D333</f>
        <v>7574.01</v>
      </c>
      <c r="I333" s="192">
        <f>7.07*D333</f>
        <v>360.57</v>
      </c>
      <c r="J333" s="192">
        <v>10.42</v>
      </c>
      <c r="K333" s="192">
        <f>7.81*D333</f>
        <v>398.31</v>
      </c>
      <c r="L333" s="192"/>
      <c r="M333" s="192"/>
      <c r="N333" s="405"/>
      <c r="O333" s="123">
        <f t="shared" si="284"/>
        <v>30898.06</v>
      </c>
      <c r="P333" s="188"/>
      <c r="Q333" s="106"/>
      <c r="R333" s="69"/>
      <c r="S333" s="70"/>
      <c r="T333" s="71"/>
      <c r="U333" s="69"/>
      <c r="V333" s="200"/>
      <c r="X333" s="60"/>
    </row>
    <row r="334" spans="1:24" s="59" customFormat="1" ht="48.75" customHeight="1" outlineLevel="1">
      <c r="A334" s="66" t="s">
        <v>316</v>
      </c>
      <c r="B334" s="205"/>
      <c r="C334" s="90" t="s">
        <v>427</v>
      </c>
      <c r="D334" s="315"/>
      <c r="E334" s="107" t="s">
        <v>4</v>
      </c>
      <c r="F334" s="193">
        <v>1.7</v>
      </c>
      <c r="G334" s="193">
        <v>1.96</v>
      </c>
      <c r="H334" s="193"/>
      <c r="I334" s="193"/>
      <c r="J334" s="193"/>
      <c r="K334" s="193"/>
      <c r="L334" s="193"/>
      <c r="M334" s="193"/>
      <c r="N334" s="406"/>
      <c r="O334" s="190">
        <f t="shared" si="284"/>
        <v>3.66</v>
      </c>
      <c r="P334" s="182">
        <f>(SUMPRODUCT(O335:O338,P335:P338)/O334)</f>
        <v>0</v>
      </c>
      <c r="Q334" s="183"/>
      <c r="R334" s="184">
        <f t="shared" ref="R334" si="300">P334+Q334</f>
        <v>0</v>
      </c>
      <c r="S334" s="182">
        <f t="shared" ref="S334" si="301">O334*P334</f>
        <v>0</v>
      </c>
      <c r="T334" s="185">
        <f t="shared" ref="T334" si="302">O334*Q334</f>
        <v>0</v>
      </c>
      <c r="U334" s="184">
        <f t="shared" ref="U334" si="303">S334+T334</f>
        <v>0</v>
      </c>
      <c r="V334" s="200" t="s">
        <v>426</v>
      </c>
      <c r="X334" s="60"/>
    </row>
    <row r="335" spans="1:24" s="59" customFormat="1" ht="33.75" customHeight="1" outlineLevel="1">
      <c r="A335" s="66" t="s">
        <v>317</v>
      </c>
      <c r="B335" s="205"/>
      <c r="C335" s="309" t="s">
        <v>18</v>
      </c>
      <c r="D335" s="265"/>
      <c r="E335" s="265" t="s">
        <v>4</v>
      </c>
      <c r="F335" s="192">
        <v>1.7</v>
      </c>
      <c r="G335" s="192">
        <v>1.96</v>
      </c>
      <c r="H335" s="192"/>
      <c r="I335" s="192"/>
      <c r="J335" s="192"/>
      <c r="K335" s="192"/>
      <c r="L335" s="192"/>
      <c r="M335" s="192"/>
      <c r="N335" s="405"/>
      <c r="O335" s="123">
        <f t="shared" si="284"/>
        <v>3.66</v>
      </c>
      <c r="P335" s="188"/>
      <c r="Q335" s="106"/>
      <c r="R335" s="69"/>
      <c r="S335" s="70"/>
      <c r="T335" s="71"/>
      <c r="U335" s="69"/>
      <c r="V335" s="200"/>
      <c r="X335" s="60"/>
    </row>
    <row r="336" spans="1:24" s="59" customFormat="1" ht="33.75" customHeight="1" outlineLevel="1">
      <c r="A336" s="66" t="s">
        <v>318</v>
      </c>
      <c r="B336" s="205"/>
      <c r="C336" s="309" t="s">
        <v>17</v>
      </c>
      <c r="D336" s="316"/>
      <c r="E336" s="265" t="s">
        <v>4</v>
      </c>
      <c r="F336" s="192">
        <v>1.7</v>
      </c>
      <c r="G336" s="192">
        <v>1.96</v>
      </c>
      <c r="H336" s="192"/>
      <c r="I336" s="192"/>
      <c r="J336" s="192"/>
      <c r="K336" s="192"/>
      <c r="L336" s="192"/>
      <c r="M336" s="192"/>
      <c r="N336" s="405"/>
      <c r="O336" s="123">
        <f t="shared" si="284"/>
        <v>3.66</v>
      </c>
      <c r="P336" s="188"/>
      <c r="Q336" s="106"/>
      <c r="R336" s="69"/>
      <c r="S336" s="70"/>
      <c r="T336" s="71"/>
      <c r="U336" s="69"/>
      <c r="V336" s="200"/>
      <c r="X336" s="60"/>
    </row>
    <row r="337" spans="1:24" s="59" customFormat="1" ht="37.5" customHeight="1" outlineLevel="1">
      <c r="A337" s="66" t="s">
        <v>319</v>
      </c>
      <c r="B337" s="253">
        <v>4100027693</v>
      </c>
      <c r="C337" s="194" t="s">
        <v>113</v>
      </c>
      <c r="D337" s="19">
        <v>50.4</v>
      </c>
      <c r="E337" s="19" t="s">
        <v>30</v>
      </c>
      <c r="F337" s="192">
        <f>1.7*D337</f>
        <v>85.68</v>
      </c>
      <c r="G337" s="192">
        <f>1.96*D337</f>
        <v>98.78</v>
      </c>
      <c r="H337" s="192"/>
      <c r="I337" s="192"/>
      <c r="J337" s="192"/>
      <c r="K337" s="192"/>
      <c r="L337" s="192"/>
      <c r="M337" s="192"/>
      <c r="N337" s="405"/>
      <c r="O337" s="123">
        <f t="shared" si="284"/>
        <v>184.46</v>
      </c>
      <c r="P337" s="188"/>
      <c r="Q337" s="106"/>
      <c r="R337" s="69"/>
      <c r="S337" s="70"/>
      <c r="T337" s="71"/>
      <c r="U337" s="69"/>
      <c r="V337" s="200"/>
      <c r="X337" s="60"/>
    </row>
    <row r="338" spans="1:24" s="59" customFormat="1" ht="37.5" customHeight="1" outlineLevel="1">
      <c r="A338" s="66" t="s">
        <v>444</v>
      </c>
      <c r="B338" s="205"/>
      <c r="C338" s="308" t="s">
        <v>32</v>
      </c>
      <c r="D338" s="249">
        <v>51</v>
      </c>
      <c r="E338" s="256" t="s">
        <v>31</v>
      </c>
      <c r="F338" s="192">
        <v>86.7</v>
      </c>
      <c r="G338" s="192">
        <v>99.96</v>
      </c>
      <c r="H338" s="192"/>
      <c r="I338" s="192"/>
      <c r="J338" s="192"/>
      <c r="K338" s="192"/>
      <c r="L338" s="192"/>
      <c r="M338" s="192"/>
      <c r="N338" s="405"/>
      <c r="O338" s="123">
        <f t="shared" si="284"/>
        <v>186.66</v>
      </c>
      <c r="P338" s="188"/>
      <c r="Q338" s="106"/>
      <c r="R338" s="69"/>
      <c r="S338" s="70"/>
      <c r="T338" s="71"/>
      <c r="U338" s="69"/>
      <c r="V338" s="200"/>
      <c r="X338" s="60"/>
    </row>
    <row r="339" spans="1:24" s="59" customFormat="1" ht="48.75" customHeight="1" outlineLevel="1">
      <c r="A339" s="66" t="s">
        <v>320</v>
      </c>
      <c r="B339" s="202"/>
      <c r="C339" s="90" t="s">
        <v>196</v>
      </c>
      <c r="D339" s="315"/>
      <c r="E339" s="107" t="s">
        <v>4</v>
      </c>
      <c r="F339" s="102">
        <v>14.96</v>
      </c>
      <c r="G339" s="102">
        <v>18.16</v>
      </c>
      <c r="H339" s="102">
        <v>10.5</v>
      </c>
      <c r="I339" s="102"/>
      <c r="J339" s="18"/>
      <c r="K339" s="18"/>
      <c r="L339" s="18"/>
      <c r="M339" s="18"/>
      <c r="N339" s="114"/>
      <c r="O339" s="190">
        <f t="shared" si="284"/>
        <v>43.62</v>
      </c>
      <c r="P339" s="182">
        <f>(SUMPRODUCT(O340:O344,P340:P344)/O339)</f>
        <v>0</v>
      </c>
      <c r="Q339" s="183"/>
      <c r="R339" s="184">
        <f t="shared" ref="R339" si="304">P339+Q339</f>
        <v>0</v>
      </c>
      <c r="S339" s="182">
        <f t="shared" ref="S339" si="305">O339*P339</f>
        <v>0</v>
      </c>
      <c r="T339" s="185">
        <f t="shared" ref="T339" si="306">O339*Q339</f>
        <v>0</v>
      </c>
      <c r="U339" s="184">
        <f t="shared" ref="U339" si="307">S339+T339</f>
        <v>0</v>
      </c>
      <c r="V339" s="200"/>
      <c r="X339" s="60"/>
    </row>
    <row r="340" spans="1:24" s="59" customFormat="1" ht="33.75" customHeight="1" outlineLevel="1">
      <c r="A340" s="66" t="s">
        <v>445</v>
      </c>
      <c r="B340" s="202"/>
      <c r="C340" s="309" t="s">
        <v>17</v>
      </c>
      <c r="D340" s="316"/>
      <c r="E340" s="6" t="s">
        <v>4</v>
      </c>
      <c r="F340" s="92">
        <v>14.96</v>
      </c>
      <c r="G340" s="92">
        <v>18.16</v>
      </c>
      <c r="H340" s="92">
        <v>10.5</v>
      </c>
      <c r="I340" s="92"/>
      <c r="J340" s="92"/>
      <c r="K340" s="92"/>
      <c r="L340" s="92"/>
      <c r="M340" s="18"/>
      <c r="N340" s="114"/>
      <c r="O340" s="99">
        <f t="shared" si="284"/>
        <v>43.62</v>
      </c>
      <c r="P340" s="188"/>
      <c r="Q340" s="106"/>
      <c r="R340" s="69"/>
      <c r="S340" s="70"/>
      <c r="T340" s="71"/>
      <c r="U340" s="69"/>
      <c r="V340" s="200"/>
      <c r="X340" s="60"/>
    </row>
    <row r="341" spans="1:24" s="59" customFormat="1" ht="37.5" customHeight="1" outlineLevel="1">
      <c r="A341" s="66" t="s">
        <v>446</v>
      </c>
      <c r="B341" s="204">
        <v>4100025575</v>
      </c>
      <c r="C341" s="194" t="s">
        <v>117</v>
      </c>
      <c r="D341" s="329">
        <v>54</v>
      </c>
      <c r="E341" s="19" t="s">
        <v>30</v>
      </c>
      <c r="F341" s="92"/>
      <c r="G341" s="92"/>
      <c r="H341" s="400">
        <f>10.5*D341</f>
        <v>567</v>
      </c>
      <c r="I341" s="92"/>
      <c r="J341" s="92"/>
      <c r="K341" s="92"/>
      <c r="L341" s="92"/>
      <c r="M341" s="18"/>
      <c r="N341" s="114"/>
      <c r="O341" s="99">
        <f t="shared" si="284"/>
        <v>567</v>
      </c>
      <c r="P341" s="188"/>
      <c r="Q341" s="106"/>
      <c r="R341" s="69"/>
      <c r="S341" s="70"/>
      <c r="T341" s="71"/>
      <c r="U341" s="69"/>
      <c r="V341" s="200"/>
      <c r="X341" s="60"/>
    </row>
    <row r="342" spans="1:24" s="59" customFormat="1" ht="37.5" customHeight="1" outlineLevel="1">
      <c r="A342" s="66" t="s">
        <v>447</v>
      </c>
      <c r="B342" s="204">
        <v>4100025823</v>
      </c>
      <c r="C342" s="194" t="s">
        <v>116</v>
      </c>
      <c r="D342" s="19">
        <v>50.4</v>
      </c>
      <c r="E342" s="19" t="s">
        <v>30</v>
      </c>
      <c r="F342" s="400">
        <f>14.96*D342</f>
        <v>754</v>
      </c>
      <c r="G342" s="400">
        <f>18.16*D342</f>
        <v>915</v>
      </c>
      <c r="H342" s="92"/>
      <c r="I342" s="92"/>
      <c r="J342" s="92"/>
      <c r="K342" s="92"/>
      <c r="L342" s="92"/>
      <c r="M342" s="18"/>
      <c r="N342" s="114"/>
      <c r="O342" s="99">
        <f t="shared" si="284"/>
        <v>1669</v>
      </c>
      <c r="P342" s="188"/>
      <c r="Q342" s="106"/>
      <c r="R342" s="69"/>
      <c r="S342" s="70"/>
      <c r="T342" s="71"/>
      <c r="U342" s="69"/>
      <c r="V342" s="200"/>
      <c r="X342" s="60"/>
    </row>
    <row r="343" spans="1:24" s="59" customFormat="1" ht="37.5" customHeight="1" outlineLevel="1">
      <c r="A343" s="66" t="s">
        <v>514</v>
      </c>
      <c r="B343" s="202"/>
      <c r="C343" s="308" t="s">
        <v>32</v>
      </c>
      <c r="D343" s="249">
        <v>51</v>
      </c>
      <c r="E343" s="23" t="s">
        <v>31</v>
      </c>
      <c r="F343" s="92">
        <f>14.96*D343</f>
        <v>762.96</v>
      </c>
      <c r="G343" s="92">
        <f>18.16*D343</f>
        <v>926.16</v>
      </c>
      <c r="H343" s="92"/>
      <c r="I343" s="92"/>
      <c r="J343" s="92"/>
      <c r="K343" s="92"/>
      <c r="L343" s="92"/>
      <c r="M343" s="18"/>
      <c r="N343" s="114"/>
      <c r="O343" s="99">
        <f t="shared" si="284"/>
        <v>1689.12</v>
      </c>
      <c r="P343" s="188"/>
      <c r="Q343" s="106"/>
      <c r="R343" s="69"/>
      <c r="S343" s="70"/>
      <c r="T343" s="71"/>
      <c r="U343" s="69"/>
      <c r="V343" s="200"/>
      <c r="X343" s="60"/>
    </row>
    <row r="344" spans="1:24" s="59" customFormat="1" ht="37.5" customHeight="1" outlineLevel="1">
      <c r="A344" s="66" t="s">
        <v>515</v>
      </c>
      <c r="B344" s="202"/>
      <c r="C344" s="308" t="s">
        <v>32</v>
      </c>
      <c r="D344" s="249">
        <v>55</v>
      </c>
      <c r="E344" s="23" t="s">
        <v>31</v>
      </c>
      <c r="F344" s="92"/>
      <c r="G344" s="92"/>
      <c r="H344" s="92">
        <f>10.5*D344</f>
        <v>577.5</v>
      </c>
      <c r="I344" s="92"/>
      <c r="J344" s="92"/>
      <c r="K344" s="92"/>
      <c r="L344" s="92"/>
      <c r="M344" s="18"/>
      <c r="N344" s="114"/>
      <c r="O344" s="99">
        <f t="shared" si="284"/>
        <v>577.5</v>
      </c>
      <c r="P344" s="188"/>
      <c r="Q344" s="106"/>
      <c r="R344" s="69"/>
      <c r="S344" s="70"/>
      <c r="T344" s="71"/>
      <c r="U344" s="69"/>
      <c r="V344" s="200"/>
      <c r="X344" s="60"/>
    </row>
    <row r="345" spans="1:24" s="59" customFormat="1" ht="48.75" customHeight="1" outlineLevel="1">
      <c r="A345" s="66" t="s">
        <v>321</v>
      </c>
      <c r="B345" s="202"/>
      <c r="C345" s="90" t="s">
        <v>197</v>
      </c>
      <c r="D345" s="315"/>
      <c r="E345" s="107" t="s">
        <v>4</v>
      </c>
      <c r="F345" s="102">
        <v>134.28</v>
      </c>
      <c r="G345" s="102">
        <v>60.24</v>
      </c>
      <c r="H345" s="102">
        <v>95.04</v>
      </c>
      <c r="I345" s="102">
        <v>174.36</v>
      </c>
      <c r="J345" s="102">
        <v>107.1</v>
      </c>
      <c r="K345" s="102">
        <v>167.59</v>
      </c>
      <c r="L345" s="18"/>
      <c r="M345" s="18"/>
      <c r="N345" s="114"/>
      <c r="O345" s="190">
        <f t="shared" si="284"/>
        <v>738.61</v>
      </c>
      <c r="P345" s="182">
        <f>(SUMPRODUCT(O346:O352,P346:P352)/O345)</f>
        <v>0</v>
      </c>
      <c r="Q345" s="183"/>
      <c r="R345" s="184">
        <f t="shared" ref="R345" si="308">P345+Q345</f>
        <v>0</v>
      </c>
      <c r="S345" s="182">
        <f t="shared" ref="S345" si="309">O345*P345</f>
        <v>0</v>
      </c>
      <c r="T345" s="185">
        <f t="shared" ref="T345" si="310">O345*Q345</f>
        <v>0</v>
      </c>
      <c r="U345" s="184">
        <f t="shared" ref="U345" si="311">S345+T345</f>
        <v>0</v>
      </c>
      <c r="V345" s="200"/>
      <c r="X345" s="60"/>
    </row>
    <row r="346" spans="1:24" s="59" customFormat="1" ht="33.75" customHeight="1" outlineLevel="1">
      <c r="A346" s="66" t="s">
        <v>516</v>
      </c>
      <c r="B346" s="202"/>
      <c r="C346" s="309" t="s">
        <v>18</v>
      </c>
      <c r="D346" s="265"/>
      <c r="E346" s="11" t="s">
        <v>4</v>
      </c>
      <c r="F346" s="92">
        <v>134.28</v>
      </c>
      <c r="G346" s="92">
        <v>60.24</v>
      </c>
      <c r="H346" s="92">
        <v>95.04</v>
      </c>
      <c r="I346" s="92">
        <v>174.36</v>
      </c>
      <c r="J346" s="92">
        <v>107.1</v>
      </c>
      <c r="K346" s="92">
        <v>167.59</v>
      </c>
      <c r="L346" s="92"/>
      <c r="M346" s="92"/>
      <c r="N346" s="122"/>
      <c r="O346" s="123">
        <f t="shared" si="284"/>
        <v>738.61</v>
      </c>
      <c r="P346" s="188"/>
      <c r="Q346" s="106"/>
      <c r="R346" s="69"/>
      <c r="S346" s="70"/>
      <c r="T346" s="71"/>
      <c r="U346" s="69"/>
      <c r="V346" s="200"/>
      <c r="X346" s="60"/>
    </row>
    <row r="347" spans="1:24" s="59" customFormat="1" ht="33.75" customHeight="1" outlineLevel="1">
      <c r="A347" s="66" t="s">
        <v>517</v>
      </c>
      <c r="B347" s="202"/>
      <c r="C347" s="309" t="s">
        <v>17</v>
      </c>
      <c r="D347" s="316"/>
      <c r="E347" s="6" t="s">
        <v>4</v>
      </c>
      <c r="F347" s="92">
        <v>140.37</v>
      </c>
      <c r="G347" s="92">
        <v>61.13</v>
      </c>
      <c r="H347" s="92">
        <v>100.4</v>
      </c>
      <c r="I347" s="92">
        <v>175.14</v>
      </c>
      <c r="J347" s="92">
        <v>107.14</v>
      </c>
      <c r="K347" s="92">
        <v>170.97</v>
      </c>
      <c r="L347" s="92"/>
      <c r="M347" s="92"/>
      <c r="N347" s="122"/>
      <c r="O347" s="123">
        <f t="shared" si="284"/>
        <v>755.15</v>
      </c>
      <c r="P347" s="188"/>
      <c r="Q347" s="106"/>
      <c r="R347" s="69"/>
      <c r="S347" s="70"/>
      <c r="T347" s="71"/>
      <c r="U347" s="69"/>
      <c r="V347" s="200"/>
      <c r="X347" s="60"/>
    </row>
    <row r="348" spans="1:24" s="59" customFormat="1" ht="37.5" customHeight="1" outlineLevel="1">
      <c r="A348" s="66" t="s">
        <v>518</v>
      </c>
      <c r="B348" s="204">
        <v>4100027470</v>
      </c>
      <c r="C348" s="194" t="s">
        <v>111</v>
      </c>
      <c r="D348" s="19">
        <v>50.4</v>
      </c>
      <c r="E348" s="19" t="s">
        <v>30</v>
      </c>
      <c r="F348" s="92"/>
      <c r="G348" s="92"/>
      <c r="H348" s="92"/>
      <c r="I348" s="400">
        <f>175.14*D348</f>
        <v>8827</v>
      </c>
      <c r="J348" s="400">
        <f>107.14*D348</f>
        <v>5400</v>
      </c>
      <c r="K348" s="92"/>
      <c r="L348" s="92"/>
      <c r="M348" s="92"/>
      <c r="N348" s="122"/>
      <c r="O348" s="123">
        <f t="shared" si="284"/>
        <v>14227</v>
      </c>
      <c r="P348" s="188"/>
      <c r="Q348" s="106"/>
      <c r="R348" s="69"/>
      <c r="S348" s="70"/>
      <c r="T348" s="71"/>
      <c r="U348" s="69"/>
      <c r="V348" s="200"/>
      <c r="X348" s="60"/>
    </row>
    <row r="349" spans="1:24" s="59" customFormat="1" ht="37.5" customHeight="1" outlineLevel="1">
      <c r="A349" s="66" t="s">
        <v>519</v>
      </c>
      <c r="B349" s="204">
        <v>4100025575</v>
      </c>
      <c r="C349" s="194" t="s">
        <v>117</v>
      </c>
      <c r="D349" s="329">
        <v>54</v>
      </c>
      <c r="E349" s="19" t="s">
        <v>30</v>
      </c>
      <c r="F349" s="92"/>
      <c r="G349" s="92"/>
      <c r="H349" s="400">
        <f>91.89*D349</f>
        <v>4962</v>
      </c>
      <c r="I349" s="92"/>
      <c r="J349" s="92"/>
      <c r="K349" s="400">
        <f>170.97*D349</f>
        <v>9232</v>
      </c>
      <c r="L349" s="92"/>
      <c r="M349" s="92"/>
      <c r="N349" s="122"/>
      <c r="O349" s="123">
        <f t="shared" si="284"/>
        <v>14194</v>
      </c>
      <c r="P349" s="188"/>
      <c r="Q349" s="106"/>
      <c r="R349" s="69"/>
      <c r="S349" s="70"/>
      <c r="T349" s="71"/>
      <c r="U349" s="69"/>
      <c r="V349" s="200"/>
      <c r="X349" s="60"/>
    </row>
    <row r="350" spans="1:24" s="59" customFormat="1" ht="37.5" customHeight="1" outlineLevel="1">
      <c r="A350" s="66" t="s">
        <v>520</v>
      </c>
      <c r="B350" s="204">
        <v>4100025823</v>
      </c>
      <c r="C350" s="194" t="s">
        <v>116</v>
      </c>
      <c r="D350" s="19">
        <v>50.4</v>
      </c>
      <c r="E350" s="19" t="s">
        <v>30</v>
      </c>
      <c r="F350" s="400">
        <f>140.37*D350</f>
        <v>7075</v>
      </c>
      <c r="G350" s="400">
        <f>61.1*D350</f>
        <v>3079</v>
      </c>
      <c r="H350" s="400">
        <f>8.51*D350</f>
        <v>429</v>
      </c>
      <c r="I350" s="92"/>
      <c r="J350" s="92"/>
      <c r="K350" s="92"/>
      <c r="L350" s="92"/>
      <c r="M350" s="92"/>
      <c r="N350" s="122"/>
      <c r="O350" s="123">
        <f t="shared" si="284"/>
        <v>10583</v>
      </c>
      <c r="P350" s="97"/>
      <c r="Q350" s="106"/>
      <c r="R350" s="69"/>
      <c r="S350" s="70"/>
      <c r="T350" s="71"/>
      <c r="U350" s="69"/>
      <c r="V350" s="200"/>
      <c r="X350" s="60"/>
    </row>
    <row r="351" spans="1:24" s="59" customFormat="1" ht="37.5" customHeight="1" outlineLevel="1">
      <c r="A351" s="66" t="s">
        <v>521</v>
      </c>
      <c r="B351" s="202"/>
      <c r="C351" s="308" t="s">
        <v>32</v>
      </c>
      <c r="D351" s="249">
        <v>51</v>
      </c>
      <c r="E351" s="23" t="s">
        <v>31</v>
      </c>
      <c r="F351" s="92">
        <f>140.37*D351</f>
        <v>7158.87</v>
      </c>
      <c r="G351" s="92">
        <f>61.1*D351</f>
        <v>3116.1</v>
      </c>
      <c r="H351" s="92"/>
      <c r="I351" s="92">
        <f>175.14*D351</f>
        <v>8932.14</v>
      </c>
      <c r="J351" s="92">
        <f>107.14*D351</f>
        <v>5464.14</v>
      </c>
      <c r="K351" s="92"/>
      <c r="L351" s="92"/>
      <c r="M351" s="92"/>
      <c r="N351" s="122"/>
      <c r="O351" s="123">
        <f t="shared" ref="O351:O356" si="312">SUM(F351:N351)</f>
        <v>24671.25</v>
      </c>
      <c r="P351" s="97"/>
      <c r="Q351" s="106"/>
      <c r="R351" s="69"/>
      <c r="S351" s="70"/>
      <c r="T351" s="71"/>
      <c r="U351" s="69"/>
      <c r="V351" s="200"/>
      <c r="X351" s="60"/>
    </row>
    <row r="352" spans="1:24" s="59" customFormat="1" ht="37.5" customHeight="1" outlineLevel="1">
      <c r="A352" s="66" t="s">
        <v>522</v>
      </c>
      <c r="B352" s="202"/>
      <c r="C352" s="308" t="s">
        <v>32</v>
      </c>
      <c r="D352" s="249">
        <v>55</v>
      </c>
      <c r="E352" s="23" t="s">
        <v>31</v>
      </c>
      <c r="F352" s="122"/>
      <c r="G352" s="17"/>
      <c r="H352" s="92">
        <f>91.89*D352</f>
        <v>5053.95</v>
      </c>
      <c r="I352" s="17"/>
      <c r="J352" s="17"/>
      <c r="K352" s="92">
        <f>170.97*D352</f>
        <v>9403.35</v>
      </c>
      <c r="L352" s="17"/>
      <c r="M352" s="92"/>
      <c r="N352" s="122"/>
      <c r="O352" s="123">
        <f t="shared" si="312"/>
        <v>14457.3</v>
      </c>
      <c r="P352" s="97"/>
      <c r="Q352" s="106"/>
      <c r="R352" s="69"/>
      <c r="S352" s="70"/>
      <c r="T352" s="71"/>
      <c r="U352" s="69"/>
      <c r="V352" s="200"/>
      <c r="X352" s="60"/>
    </row>
    <row r="353" spans="1:24" s="59" customFormat="1" ht="49.5" customHeight="1" outlineLevel="1">
      <c r="A353" s="66" t="s">
        <v>448</v>
      </c>
      <c r="B353" s="202"/>
      <c r="C353" s="229" t="s">
        <v>322</v>
      </c>
      <c r="D353" s="330"/>
      <c r="E353" s="101" t="s">
        <v>4</v>
      </c>
      <c r="F353" s="121"/>
      <c r="G353" s="120"/>
      <c r="H353" s="120"/>
      <c r="I353" s="120">
        <v>17.2</v>
      </c>
      <c r="J353" s="120">
        <v>5.7</v>
      </c>
      <c r="K353" s="120">
        <v>13.05</v>
      </c>
      <c r="L353" s="120"/>
      <c r="M353" s="102"/>
      <c r="N353" s="114"/>
      <c r="O353" s="190">
        <f t="shared" si="312"/>
        <v>35.950000000000003</v>
      </c>
      <c r="P353" s="182">
        <f>(SUMPRODUCT(O354:O356,P354:P356)/O353)</f>
        <v>0</v>
      </c>
      <c r="Q353" s="183"/>
      <c r="R353" s="184">
        <f t="shared" ref="R353" si="313">P353+Q353</f>
        <v>0</v>
      </c>
      <c r="S353" s="182">
        <f t="shared" ref="S353" si="314">O353*P353</f>
        <v>0</v>
      </c>
      <c r="T353" s="185">
        <f t="shared" ref="T353" si="315">O353*Q353</f>
        <v>0</v>
      </c>
      <c r="U353" s="184">
        <f t="shared" ref="U353" si="316">S353+T353</f>
        <v>0</v>
      </c>
      <c r="V353" s="200"/>
      <c r="X353" s="60"/>
    </row>
    <row r="354" spans="1:24" s="59" customFormat="1" ht="37.5" customHeight="1" outlineLevel="1">
      <c r="A354" s="66" t="s">
        <v>523</v>
      </c>
      <c r="B354" s="202"/>
      <c r="C354" s="309" t="s">
        <v>18</v>
      </c>
      <c r="D354" s="265"/>
      <c r="E354" s="11" t="s">
        <v>4</v>
      </c>
      <c r="F354" s="122"/>
      <c r="G354" s="17"/>
      <c r="H354" s="17"/>
      <c r="I354" s="17">
        <v>17.2</v>
      </c>
      <c r="J354" s="17">
        <v>5.7</v>
      </c>
      <c r="K354" s="17">
        <v>13.05</v>
      </c>
      <c r="L354" s="17"/>
      <c r="M354" s="92"/>
      <c r="N354" s="122"/>
      <c r="O354" s="123">
        <f t="shared" si="312"/>
        <v>35.950000000000003</v>
      </c>
      <c r="P354" s="188"/>
      <c r="Q354" s="106"/>
      <c r="R354" s="69"/>
      <c r="S354" s="70"/>
      <c r="T354" s="71"/>
      <c r="U354" s="69"/>
      <c r="V354" s="200"/>
      <c r="X354" s="60"/>
    </row>
    <row r="355" spans="1:24" s="59" customFormat="1" ht="37.5" customHeight="1" outlineLevel="1">
      <c r="A355" s="66" t="s">
        <v>524</v>
      </c>
      <c r="B355" s="202"/>
      <c r="C355" s="309" t="s">
        <v>58</v>
      </c>
      <c r="D355" s="265">
        <v>50.4</v>
      </c>
      <c r="E355" s="11" t="s">
        <v>30</v>
      </c>
      <c r="F355" s="122"/>
      <c r="G355" s="17"/>
      <c r="H355" s="17"/>
      <c r="I355" s="401">
        <f>17.2*D355</f>
        <v>867</v>
      </c>
      <c r="J355" s="401">
        <f>5.7*D355</f>
        <v>287</v>
      </c>
      <c r="K355" s="401">
        <f>13.05*D355</f>
        <v>658</v>
      </c>
      <c r="L355" s="17"/>
      <c r="M355" s="92"/>
      <c r="N355" s="122"/>
      <c r="O355" s="123">
        <f t="shared" si="312"/>
        <v>1812</v>
      </c>
      <c r="P355" s="188"/>
      <c r="Q355" s="106"/>
      <c r="R355" s="69"/>
      <c r="S355" s="70"/>
      <c r="T355" s="71"/>
      <c r="U355" s="69"/>
      <c r="V355" s="200"/>
      <c r="X355" s="60"/>
    </row>
    <row r="356" spans="1:24" s="59" customFormat="1" ht="37.5" customHeight="1" outlineLevel="1">
      <c r="A356" s="66" t="s">
        <v>525</v>
      </c>
      <c r="B356" s="202"/>
      <c r="C356" s="309" t="s">
        <v>59</v>
      </c>
      <c r="D356" s="263">
        <v>2.3E-2</v>
      </c>
      <c r="E356" s="11" t="s">
        <v>34</v>
      </c>
      <c r="F356" s="122"/>
      <c r="G356" s="17"/>
      <c r="H356" s="17"/>
      <c r="I356" s="17">
        <f>17.2*D356</f>
        <v>0.4</v>
      </c>
      <c r="J356" s="17">
        <f>5.7*D356</f>
        <v>0.13</v>
      </c>
      <c r="K356" s="17">
        <f>13.05*D356</f>
        <v>0.3</v>
      </c>
      <c r="L356" s="17"/>
      <c r="M356" s="92"/>
      <c r="N356" s="122"/>
      <c r="O356" s="123">
        <f t="shared" si="312"/>
        <v>0.83</v>
      </c>
      <c r="P356" s="188"/>
      <c r="Q356" s="106"/>
      <c r="R356" s="69"/>
      <c r="S356" s="70"/>
      <c r="T356" s="71"/>
      <c r="U356" s="69"/>
      <c r="V356" s="200"/>
      <c r="X356" s="60"/>
    </row>
    <row r="357" spans="1:24" s="59" customFormat="1" ht="37.5" customHeight="1" outlineLevel="1">
      <c r="A357" s="66" t="s">
        <v>526</v>
      </c>
      <c r="B357" s="208"/>
      <c r="C357" s="229" t="s">
        <v>119</v>
      </c>
      <c r="D357" s="321"/>
      <c r="E357" s="2" t="s">
        <v>4</v>
      </c>
      <c r="F357" s="33">
        <v>47.91</v>
      </c>
      <c r="G357" s="9">
        <v>28.86</v>
      </c>
      <c r="H357" s="9">
        <v>76.27</v>
      </c>
      <c r="I357" s="9">
        <v>55.75</v>
      </c>
      <c r="J357" s="9">
        <v>27.9</v>
      </c>
      <c r="K357" s="9">
        <v>65.39</v>
      </c>
      <c r="L357" s="9"/>
      <c r="M357" s="18"/>
      <c r="N357" s="114"/>
      <c r="O357" s="99">
        <f t="shared" ref="O357:O358" si="317">SUM(F357:N357)</f>
        <v>302.08</v>
      </c>
      <c r="P357" s="183"/>
      <c r="Q357" s="183"/>
      <c r="R357" s="184">
        <f t="shared" ref="R357:R358" si="318">P357+Q357</f>
        <v>0</v>
      </c>
      <c r="S357" s="182">
        <f t="shared" ref="S357:S358" si="319">O357*P357</f>
        <v>0</v>
      </c>
      <c r="T357" s="185">
        <f t="shared" ref="T357:T358" si="320">O357*Q357</f>
        <v>0</v>
      </c>
      <c r="U357" s="184">
        <f t="shared" ref="U357:U358" si="321">S357+T357</f>
        <v>0</v>
      </c>
      <c r="V357" s="200"/>
      <c r="X357" s="60"/>
    </row>
    <row r="358" spans="1:24" s="59" customFormat="1" ht="37.5" customHeight="1" outlineLevel="1">
      <c r="A358" s="66" t="s">
        <v>527</v>
      </c>
      <c r="B358" s="209"/>
      <c r="C358" s="229" t="s">
        <v>120</v>
      </c>
      <c r="D358" s="321"/>
      <c r="E358" s="12" t="s">
        <v>121</v>
      </c>
      <c r="F358" s="33">
        <v>54.43</v>
      </c>
      <c r="G358" s="9">
        <v>30.75</v>
      </c>
      <c r="H358" s="9">
        <v>12.53</v>
      </c>
      <c r="I358" s="9">
        <v>56.83</v>
      </c>
      <c r="J358" s="9">
        <v>32.880000000000003</v>
      </c>
      <c r="K358" s="9">
        <v>22.05</v>
      </c>
      <c r="L358" s="9"/>
      <c r="M358" s="18"/>
      <c r="N358" s="114"/>
      <c r="O358" s="99">
        <f t="shared" si="317"/>
        <v>209.47</v>
      </c>
      <c r="P358" s="183"/>
      <c r="Q358" s="183"/>
      <c r="R358" s="184">
        <f t="shared" si="318"/>
        <v>0</v>
      </c>
      <c r="S358" s="182">
        <f t="shared" si="319"/>
        <v>0</v>
      </c>
      <c r="T358" s="185">
        <f t="shared" si="320"/>
        <v>0</v>
      </c>
      <c r="U358" s="184">
        <f t="shared" si="321"/>
        <v>0</v>
      </c>
      <c r="V358" s="200" t="s">
        <v>149</v>
      </c>
      <c r="X358" s="60"/>
    </row>
    <row r="359" spans="1:24" s="59" customFormat="1" ht="53.25" customHeight="1">
      <c r="A359" s="108" t="s">
        <v>323</v>
      </c>
      <c r="B359" s="109"/>
      <c r="C359" s="318" t="s">
        <v>368</v>
      </c>
      <c r="D359" s="322"/>
      <c r="E359" s="111"/>
      <c r="F359" s="112"/>
      <c r="G359" s="246"/>
      <c r="H359" s="83"/>
      <c r="I359" s="83"/>
      <c r="J359" s="83"/>
      <c r="K359" s="83"/>
      <c r="L359" s="83"/>
      <c r="M359" s="83"/>
      <c r="N359" s="146"/>
      <c r="O359" s="98"/>
      <c r="P359" s="95"/>
      <c r="Q359" s="84"/>
      <c r="R359" s="85"/>
      <c r="S359" s="210">
        <f>SUM(S360:S368)</f>
        <v>0</v>
      </c>
      <c r="T359" s="211">
        <f>SUM(T360:T368)</f>
        <v>0</v>
      </c>
      <c r="U359" s="212">
        <f>T359+S359</f>
        <v>0</v>
      </c>
      <c r="V359" s="289"/>
      <c r="X359" s="60"/>
    </row>
    <row r="360" spans="1:24" s="59" customFormat="1" ht="37.5" customHeight="1" outlineLevel="1">
      <c r="A360" s="66" t="s">
        <v>324</v>
      </c>
      <c r="B360" s="202"/>
      <c r="C360" s="90" t="s">
        <v>82</v>
      </c>
      <c r="D360" s="323"/>
      <c r="E360" s="67" t="s">
        <v>4</v>
      </c>
      <c r="F360" s="18">
        <v>820.88</v>
      </c>
      <c r="G360" s="9">
        <v>438.89</v>
      </c>
      <c r="H360" s="9">
        <v>185.87</v>
      </c>
      <c r="I360" s="9">
        <v>496.97</v>
      </c>
      <c r="J360" s="9">
        <v>76.040000000000006</v>
      </c>
      <c r="K360" s="9">
        <v>147.84</v>
      </c>
      <c r="L360" s="9"/>
      <c r="M360" s="18"/>
      <c r="N360" s="114"/>
      <c r="O360" s="99">
        <f t="shared" ref="O360:O367" si="322">SUM(F360:N360)</f>
        <v>2166.4899999999998</v>
      </c>
      <c r="P360" s="183"/>
      <c r="Q360" s="183"/>
      <c r="R360" s="184">
        <f t="shared" ref="R360:R367" si="323">P360+Q360</f>
        <v>0</v>
      </c>
      <c r="S360" s="182">
        <f t="shared" ref="S360:S367" si="324">O360*P360</f>
        <v>0</v>
      </c>
      <c r="T360" s="185">
        <f t="shared" ref="T360:T367" si="325">O360*Q360</f>
        <v>0</v>
      </c>
      <c r="U360" s="184">
        <f t="shared" ref="U360:U367" si="326">S360+T360</f>
        <v>0</v>
      </c>
      <c r="V360" s="200"/>
      <c r="X360" s="60"/>
    </row>
    <row r="361" spans="1:24" s="59" customFormat="1" ht="32.25" customHeight="1" outlineLevel="1">
      <c r="A361" s="66" t="s">
        <v>325</v>
      </c>
      <c r="B361" s="202"/>
      <c r="C361" s="90" t="s">
        <v>83</v>
      </c>
      <c r="D361" s="323"/>
      <c r="E361" s="67" t="s">
        <v>4</v>
      </c>
      <c r="F361" s="18">
        <v>8.81</v>
      </c>
      <c r="G361" s="9">
        <v>13.21</v>
      </c>
      <c r="H361" s="9"/>
      <c r="I361" s="9">
        <v>21.63</v>
      </c>
      <c r="J361" s="9">
        <v>5.7</v>
      </c>
      <c r="K361" s="9">
        <v>13.05</v>
      </c>
      <c r="L361" s="9"/>
      <c r="M361" s="18"/>
      <c r="N361" s="114"/>
      <c r="O361" s="99">
        <f t="shared" si="322"/>
        <v>62.4</v>
      </c>
      <c r="P361" s="183"/>
      <c r="Q361" s="183"/>
      <c r="R361" s="184">
        <f t="shared" si="323"/>
        <v>0</v>
      </c>
      <c r="S361" s="182">
        <f t="shared" si="324"/>
        <v>0</v>
      </c>
      <c r="T361" s="185">
        <f t="shared" si="325"/>
        <v>0</v>
      </c>
      <c r="U361" s="184">
        <f t="shared" si="326"/>
        <v>0</v>
      </c>
      <c r="V361" s="200"/>
      <c r="X361" s="60"/>
    </row>
    <row r="362" spans="1:24" s="59" customFormat="1" ht="32.25" customHeight="1" outlineLevel="1">
      <c r="A362" s="66" t="s">
        <v>326</v>
      </c>
      <c r="B362" s="202"/>
      <c r="C362" s="90" t="s">
        <v>84</v>
      </c>
      <c r="D362" s="323"/>
      <c r="E362" s="67" t="s">
        <v>4</v>
      </c>
      <c r="F362" s="18">
        <v>10</v>
      </c>
      <c r="G362" s="9"/>
      <c r="H362" s="9"/>
      <c r="I362" s="9">
        <v>10.4</v>
      </c>
      <c r="J362" s="9">
        <v>19.510000000000002</v>
      </c>
      <c r="K362" s="9"/>
      <c r="L362" s="9"/>
      <c r="M362" s="18"/>
      <c r="N362" s="114"/>
      <c r="O362" s="99">
        <f t="shared" si="322"/>
        <v>39.909999999999997</v>
      </c>
      <c r="P362" s="183"/>
      <c r="Q362" s="183"/>
      <c r="R362" s="184">
        <f t="shared" si="323"/>
        <v>0</v>
      </c>
      <c r="S362" s="182">
        <f t="shared" si="324"/>
        <v>0</v>
      </c>
      <c r="T362" s="185">
        <f t="shared" si="325"/>
        <v>0</v>
      </c>
      <c r="U362" s="184">
        <f t="shared" si="326"/>
        <v>0</v>
      </c>
      <c r="V362" s="200"/>
      <c r="X362" s="60"/>
    </row>
    <row r="363" spans="1:24" s="59" customFormat="1" ht="32.25" customHeight="1" outlineLevel="1">
      <c r="A363" s="66" t="s">
        <v>327</v>
      </c>
      <c r="B363" s="202"/>
      <c r="C363" s="90" t="s">
        <v>15</v>
      </c>
      <c r="D363" s="323"/>
      <c r="E363" s="67" t="s">
        <v>4</v>
      </c>
      <c r="F363" s="18">
        <f>926.96+27.96</f>
        <v>954.92</v>
      </c>
      <c r="G363" s="9">
        <f>452.31+17.3</f>
        <v>469.61</v>
      </c>
      <c r="H363" s="9">
        <f>1002.54+47.44</f>
        <v>1049.98</v>
      </c>
      <c r="I363" s="9">
        <f>725.09+43.63</f>
        <v>768.72</v>
      </c>
      <c r="J363" s="9">
        <f>454.39+16.72</f>
        <v>471.11</v>
      </c>
      <c r="K363" s="9">
        <f>536.99+67.5</f>
        <v>604.49</v>
      </c>
      <c r="L363" s="9"/>
      <c r="M363" s="18"/>
      <c r="N363" s="114"/>
      <c r="O363" s="99">
        <f t="shared" si="322"/>
        <v>4318.83</v>
      </c>
      <c r="P363" s="183"/>
      <c r="Q363" s="183"/>
      <c r="R363" s="184">
        <f t="shared" si="323"/>
        <v>0</v>
      </c>
      <c r="S363" s="182">
        <f t="shared" si="324"/>
        <v>0</v>
      </c>
      <c r="T363" s="185">
        <f t="shared" si="325"/>
        <v>0</v>
      </c>
      <c r="U363" s="184">
        <f t="shared" si="326"/>
        <v>0</v>
      </c>
      <c r="V363" s="200" t="s">
        <v>122</v>
      </c>
      <c r="X363" s="60"/>
    </row>
    <row r="364" spans="1:24" s="59" customFormat="1" ht="32.25" customHeight="1" outlineLevel="1">
      <c r="A364" s="66" t="s">
        <v>328</v>
      </c>
      <c r="B364" s="202"/>
      <c r="C364" s="90" t="s">
        <v>14</v>
      </c>
      <c r="D364" s="323"/>
      <c r="E364" s="67" t="s">
        <v>4</v>
      </c>
      <c r="F364" s="18">
        <v>111.67</v>
      </c>
      <c r="G364" s="9">
        <v>82.4</v>
      </c>
      <c r="H364" s="9">
        <v>120.87</v>
      </c>
      <c r="I364" s="9">
        <v>122.62</v>
      </c>
      <c r="J364" s="9">
        <v>92.89</v>
      </c>
      <c r="K364" s="9">
        <v>89.85</v>
      </c>
      <c r="L364" s="9"/>
      <c r="M364" s="18"/>
      <c r="N364" s="114"/>
      <c r="O364" s="99">
        <f t="shared" si="322"/>
        <v>620.29999999999995</v>
      </c>
      <c r="P364" s="183"/>
      <c r="Q364" s="183"/>
      <c r="R364" s="184">
        <f t="shared" si="323"/>
        <v>0</v>
      </c>
      <c r="S364" s="182">
        <f t="shared" si="324"/>
        <v>0</v>
      </c>
      <c r="T364" s="185">
        <f t="shared" si="325"/>
        <v>0</v>
      </c>
      <c r="U364" s="184">
        <f t="shared" si="326"/>
        <v>0</v>
      </c>
      <c r="V364" s="200"/>
      <c r="X364" s="60"/>
    </row>
    <row r="365" spans="1:24" s="59" customFormat="1" ht="32.25" customHeight="1" outlineLevel="1">
      <c r="A365" s="66" t="s">
        <v>329</v>
      </c>
      <c r="B365" s="202"/>
      <c r="C365" s="90" t="s">
        <v>118</v>
      </c>
      <c r="D365" s="323"/>
      <c r="E365" s="67" t="s">
        <v>4</v>
      </c>
      <c r="F365" s="18">
        <v>142.5</v>
      </c>
      <c r="G365" s="9">
        <v>139.94999999999999</v>
      </c>
      <c r="H365" s="9">
        <v>224.23</v>
      </c>
      <c r="I365" s="9">
        <v>70.069999999999993</v>
      </c>
      <c r="J365" s="124">
        <v>66.87</v>
      </c>
      <c r="K365" s="9">
        <v>42.43</v>
      </c>
      <c r="L365" s="9"/>
      <c r="M365" s="18"/>
      <c r="N365" s="114"/>
      <c r="O365" s="99">
        <f t="shared" si="322"/>
        <v>686.05</v>
      </c>
      <c r="P365" s="183"/>
      <c r="Q365" s="183"/>
      <c r="R365" s="184">
        <f t="shared" si="323"/>
        <v>0</v>
      </c>
      <c r="S365" s="182">
        <f t="shared" si="324"/>
        <v>0</v>
      </c>
      <c r="T365" s="185">
        <f t="shared" si="325"/>
        <v>0</v>
      </c>
      <c r="U365" s="184">
        <f t="shared" si="326"/>
        <v>0</v>
      </c>
      <c r="V365" s="200"/>
      <c r="X365" s="60"/>
    </row>
    <row r="366" spans="1:24" s="59" customFormat="1" ht="32.25" customHeight="1" outlineLevel="1">
      <c r="A366" s="66" t="s">
        <v>330</v>
      </c>
      <c r="B366" s="202"/>
      <c r="C366" s="90" t="s">
        <v>23</v>
      </c>
      <c r="D366" s="323"/>
      <c r="E366" s="67" t="s">
        <v>4</v>
      </c>
      <c r="F366" s="18">
        <v>326.66000000000003</v>
      </c>
      <c r="G366" s="9">
        <v>247.35</v>
      </c>
      <c r="H366" s="9">
        <v>373.17</v>
      </c>
      <c r="I366" s="9">
        <v>189.22</v>
      </c>
      <c r="J366" s="9">
        <v>135.94</v>
      </c>
      <c r="K366" s="9">
        <v>270</v>
      </c>
      <c r="L366" s="9"/>
      <c r="M366" s="18"/>
      <c r="N366" s="114"/>
      <c r="O366" s="99">
        <f t="shared" si="322"/>
        <v>1542.34</v>
      </c>
      <c r="P366" s="183"/>
      <c r="Q366" s="183"/>
      <c r="R366" s="184">
        <f t="shared" si="323"/>
        <v>0</v>
      </c>
      <c r="S366" s="182">
        <f t="shared" si="324"/>
        <v>0</v>
      </c>
      <c r="T366" s="185">
        <f t="shared" si="325"/>
        <v>0</v>
      </c>
      <c r="U366" s="184">
        <f t="shared" si="326"/>
        <v>0</v>
      </c>
      <c r="V366" s="200"/>
      <c r="X366" s="60"/>
    </row>
    <row r="367" spans="1:24" s="59" customFormat="1" ht="32.25" customHeight="1" outlineLevel="1">
      <c r="A367" s="66" t="s">
        <v>331</v>
      </c>
      <c r="B367" s="202"/>
      <c r="C367" s="90" t="s">
        <v>85</v>
      </c>
      <c r="D367" s="323"/>
      <c r="E367" s="67" t="s">
        <v>86</v>
      </c>
      <c r="F367" s="18">
        <v>15.85</v>
      </c>
      <c r="G367" s="9">
        <v>10.33</v>
      </c>
      <c r="H367" s="9">
        <v>12.4</v>
      </c>
      <c r="I367" s="9">
        <v>42.13</v>
      </c>
      <c r="J367" s="9">
        <v>11.85</v>
      </c>
      <c r="K367" s="9">
        <v>43.14</v>
      </c>
      <c r="L367" s="9"/>
      <c r="M367" s="18"/>
      <c r="N367" s="114"/>
      <c r="O367" s="99">
        <f t="shared" si="322"/>
        <v>135.69999999999999</v>
      </c>
      <c r="P367" s="183"/>
      <c r="Q367" s="183"/>
      <c r="R367" s="184">
        <f t="shared" si="323"/>
        <v>0</v>
      </c>
      <c r="S367" s="182">
        <f t="shared" si="324"/>
        <v>0</v>
      </c>
      <c r="T367" s="185">
        <f t="shared" si="325"/>
        <v>0</v>
      </c>
      <c r="U367" s="184">
        <f t="shared" si="326"/>
        <v>0</v>
      </c>
      <c r="V367" s="200"/>
      <c r="X367" s="60"/>
    </row>
    <row r="368" spans="1:24" s="59" customFormat="1" ht="32.25" customHeight="1" outlineLevel="1">
      <c r="A368" s="66" t="s">
        <v>367</v>
      </c>
      <c r="B368" s="205"/>
      <c r="C368" s="90" t="s">
        <v>365</v>
      </c>
      <c r="D368" s="323"/>
      <c r="E368" s="67" t="s">
        <v>4</v>
      </c>
      <c r="F368" s="238">
        <v>5</v>
      </c>
      <c r="G368" s="185">
        <v>2.6</v>
      </c>
      <c r="H368" s="185">
        <v>2.2999999999999998</v>
      </c>
      <c r="I368" s="185">
        <v>7.4</v>
      </c>
      <c r="J368" s="185">
        <v>2.5</v>
      </c>
      <c r="K368" s="185">
        <v>8.1999999999999993</v>
      </c>
      <c r="L368" s="185"/>
      <c r="M368" s="238"/>
      <c r="N368" s="237"/>
      <c r="O368" s="99">
        <f>SUM(F368:N368)</f>
        <v>28</v>
      </c>
      <c r="P368" s="183"/>
      <c r="Q368" s="183"/>
      <c r="R368" s="184">
        <f t="shared" ref="R368" si="327">P368+Q368</f>
        <v>0</v>
      </c>
      <c r="S368" s="182">
        <f t="shared" ref="S368" si="328">O368*P368</f>
        <v>0</v>
      </c>
      <c r="T368" s="185">
        <f t="shared" ref="T368" si="329">O368*Q368</f>
        <v>0</v>
      </c>
      <c r="U368" s="184">
        <f t="shared" ref="U368" si="330">S368+T368</f>
        <v>0</v>
      </c>
      <c r="V368" s="200"/>
      <c r="X368" s="60"/>
    </row>
    <row r="369" spans="1:24" s="59" customFormat="1" ht="37.5" customHeight="1">
      <c r="A369" s="274" t="s">
        <v>412</v>
      </c>
      <c r="B369" s="344"/>
      <c r="C369" s="346" t="s">
        <v>60</v>
      </c>
      <c r="D369" s="337"/>
      <c r="E369" s="271"/>
      <c r="F369" s="272"/>
      <c r="G369" s="272"/>
      <c r="H369" s="272"/>
      <c r="I369" s="272"/>
      <c r="J369" s="272"/>
      <c r="K369" s="272"/>
      <c r="L369" s="272"/>
      <c r="M369" s="272"/>
      <c r="N369" s="259"/>
      <c r="O369" s="150"/>
      <c r="P369" s="134"/>
      <c r="Q369" s="279"/>
      <c r="R369" s="147"/>
      <c r="S369" s="281">
        <f>S370+S388</f>
        <v>0</v>
      </c>
      <c r="T369" s="282">
        <f>T370+T388</f>
        <v>0</v>
      </c>
      <c r="U369" s="283">
        <f>T369+S369</f>
        <v>0</v>
      </c>
      <c r="V369" s="291"/>
      <c r="X369" s="60"/>
    </row>
    <row r="370" spans="1:24" s="59" customFormat="1" ht="37.5" customHeight="1">
      <c r="A370" s="275" t="s">
        <v>332</v>
      </c>
      <c r="B370" s="345"/>
      <c r="C370" s="347" t="s">
        <v>106</v>
      </c>
      <c r="D370" s="338"/>
      <c r="E370" s="273"/>
      <c r="F370" s="246"/>
      <c r="G370" s="246"/>
      <c r="H370" s="246"/>
      <c r="I370" s="246"/>
      <c r="J370" s="246"/>
      <c r="K370" s="246"/>
      <c r="L370" s="246"/>
      <c r="M370" s="246"/>
      <c r="N370" s="260"/>
      <c r="O370" s="152"/>
      <c r="P370" s="153"/>
      <c r="Q370" s="280"/>
      <c r="R370" s="154"/>
      <c r="S370" s="298">
        <f>SUM(S371:S387)</f>
        <v>0</v>
      </c>
      <c r="T370" s="299">
        <f>SUM(T371:T387)</f>
        <v>0</v>
      </c>
      <c r="U370" s="300">
        <f>T370+S370</f>
        <v>0</v>
      </c>
      <c r="V370" s="292"/>
      <c r="X370" s="60"/>
    </row>
    <row r="371" spans="1:24" s="59" customFormat="1" ht="48" customHeight="1" outlineLevel="1">
      <c r="A371" s="143" t="s">
        <v>339</v>
      </c>
      <c r="B371" s="343"/>
      <c r="C371" s="348" t="s">
        <v>133</v>
      </c>
      <c r="D371" s="268"/>
      <c r="E371" s="268" t="s">
        <v>4</v>
      </c>
      <c r="F371" s="251"/>
      <c r="G371" s="251"/>
      <c r="H371" s="251"/>
      <c r="I371" s="251"/>
      <c r="J371" s="251"/>
      <c r="K371" s="251"/>
      <c r="L371" s="193"/>
      <c r="M371" s="120"/>
      <c r="N371" s="119"/>
      <c r="O371" s="156">
        <f>O372</f>
        <v>1.95</v>
      </c>
      <c r="P371" s="182">
        <f>(SUMPRODUCT(O372:O374,P372:P374)/O371)</f>
        <v>0</v>
      </c>
      <c r="Q371" s="183"/>
      <c r="R371" s="184">
        <f t="shared" ref="R371" si="331">P371+Q371</f>
        <v>0</v>
      </c>
      <c r="S371" s="182">
        <f t="shared" ref="S371" si="332">O371*P371</f>
        <v>0</v>
      </c>
      <c r="T371" s="185">
        <f t="shared" ref="T371" si="333">O371*Q371</f>
        <v>0</v>
      </c>
      <c r="U371" s="184">
        <f t="shared" ref="U371" si="334">S371+T371</f>
        <v>0</v>
      </c>
      <c r="V371" s="199"/>
      <c r="X371" s="60"/>
    </row>
    <row r="372" spans="1:24" s="59" customFormat="1" ht="37.5" customHeight="1" outlineLevel="1">
      <c r="A372" s="143" t="s">
        <v>340</v>
      </c>
      <c r="B372" s="343"/>
      <c r="C372" s="254" t="s">
        <v>16</v>
      </c>
      <c r="D372" s="263"/>
      <c r="E372" s="269" t="s">
        <v>4</v>
      </c>
      <c r="F372" s="185"/>
      <c r="G372" s="185"/>
      <c r="H372" s="185"/>
      <c r="I372" s="185"/>
      <c r="J372" s="185"/>
      <c r="K372" s="185"/>
      <c r="L372" s="238"/>
      <c r="M372" s="9"/>
      <c r="N372" s="33"/>
      <c r="O372" s="155">
        <v>1.95</v>
      </c>
      <c r="P372" s="188"/>
      <c r="Q372" s="106"/>
      <c r="R372" s="69"/>
      <c r="S372" s="70"/>
      <c r="T372" s="71"/>
      <c r="U372" s="69"/>
      <c r="V372" s="199"/>
      <c r="X372" s="60"/>
    </row>
    <row r="373" spans="1:24" s="59" customFormat="1" ht="37.5" customHeight="1" outlineLevel="1">
      <c r="A373" s="143" t="s">
        <v>413</v>
      </c>
      <c r="B373" s="202"/>
      <c r="C373" s="307" t="s">
        <v>90</v>
      </c>
      <c r="D373" s="263">
        <v>50.4</v>
      </c>
      <c r="E373" s="269" t="s">
        <v>30</v>
      </c>
      <c r="F373" s="185"/>
      <c r="G373" s="185"/>
      <c r="H373" s="185"/>
      <c r="I373" s="185"/>
      <c r="J373" s="185"/>
      <c r="K373" s="185"/>
      <c r="L373" s="238"/>
      <c r="M373" s="9"/>
      <c r="N373" s="33"/>
      <c r="O373" s="404">
        <f>1.95*D373</f>
        <v>98</v>
      </c>
      <c r="P373" s="188"/>
      <c r="Q373" s="106"/>
      <c r="R373" s="69"/>
      <c r="S373" s="70"/>
      <c r="T373" s="71"/>
      <c r="U373" s="69"/>
      <c r="V373" s="199"/>
      <c r="X373" s="60"/>
    </row>
    <row r="374" spans="1:24" s="59" customFormat="1" ht="37.5" customHeight="1" outlineLevel="1">
      <c r="A374" s="143" t="s">
        <v>414</v>
      </c>
      <c r="B374" s="202"/>
      <c r="C374" s="308" t="s">
        <v>59</v>
      </c>
      <c r="D374" s="263">
        <v>2.3E-2</v>
      </c>
      <c r="E374" s="269" t="s">
        <v>34</v>
      </c>
      <c r="F374" s="185"/>
      <c r="G374" s="185"/>
      <c r="H374" s="185"/>
      <c r="I374" s="185"/>
      <c r="J374" s="185"/>
      <c r="K374" s="185"/>
      <c r="L374" s="238"/>
      <c r="M374" s="9"/>
      <c r="N374" s="33"/>
      <c r="O374" s="155">
        <f>1.95*D374</f>
        <v>0.04</v>
      </c>
      <c r="P374" s="149"/>
      <c r="Q374" s="86"/>
      <c r="R374" s="7"/>
      <c r="S374" s="8"/>
      <c r="T374" s="9"/>
      <c r="U374" s="7"/>
      <c r="V374" s="199"/>
      <c r="X374" s="60"/>
    </row>
    <row r="375" spans="1:24" s="59" customFormat="1" ht="45.75" customHeight="1" outlineLevel="1">
      <c r="A375" s="143" t="s">
        <v>341</v>
      </c>
      <c r="B375" s="202"/>
      <c r="C375" s="231" t="s">
        <v>134</v>
      </c>
      <c r="D375" s="339"/>
      <c r="E375" s="269" t="s">
        <v>4</v>
      </c>
      <c r="F375" s="185"/>
      <c r="G375" s="185"/>
      <c r="H375" s="185"/>
      <c r="I375" s="185"/>
      <c r="J375" s="185"/>
      <c r="K375" s="185"/>
      <c r="L375" s="238"/>
      <c r="M375" s="9"/>
      <c r="N375" s="33"/>
      <c r="O375" s="156">
        <f>78.47+27.59</f>
        <v>106.06</v>
      </c>
      <c r="P375" s="182">
        <f>(SUMPRODUCT(O376:O378,P376:P378)/O375)</f>
        <v>0</v>
      </c>
      <c r="Q375" s="183"/>
      <c r="R375" s="184">
        <f t="shared" ref="R375" si="335">P375+Q375</f>
        <v>0</v>
      </c>
      <c r="S375" s="182">
        <f t="shared" ref="S375" si="336">O375*P375</f>
        <v>0</v>
      </c>
      <c r="T375" s="185">
        <f t="shared" ref="T375" si="337">O375*Q375</f>
        <v>0</v>
      </c>
      <c r="U375" s="184">
        <f t="shared" ref="U375" si="338">S375+T375</f>
        <v>0</v>
      </c>
      <c r="V375" s="199" t="s">
        <v>586</v>
      </c>
      <c r="X375" s="60"/>
    </row>
    <row r="376" spans="1:24" s="59" customFormat="1" ht="29.25" customHeight="1" outlineLevel="1">
      <c r="A376" s="143" t="s">
        <v>342</v>
      </c>
      <c r="B376" s="202"/>
      <c r="C376" s="307" t="s">
        <v>16</v>
      </c>
      <c r="D376" s="263"/>
      <c r="E376" s="269" t="s">
        <v>4</v>
      </c>
      <c r="F376" s="185"/>
      <c r="G376" s="185"/>
      <c r="H376" s="185"/>
      <c r="I376" s="185"/>
      <c r="J376" s="185"/>
      <c r="K376" s="185"/>
      <c r="L376" s="238"/>
      <c r="M376" s="9"/>
      <c r="N376" s="33"/>
      <c r="O376" s="155">
        <f>78.47+27.59</f>
        <v>106.06</v>
      </c>
      <c r="P376" s="188"/>
      <c r="Q376" s="106"/>
      <c r="R376" s="69"/>
      <c r="S376" s="70"/>
      <c r="T376" s="71"/>
      <c r="U376" s="69"/>
      <c r="V376" s="199"/>
      <c r="X376" s="60"/>
    </row>
    <row r="377" spans="1:24" s="59" customFormat="1" ht="29.25" customHeight="1" outlineLevel="1">
      <c r="A377" s="143" t="s">
        <v>343</v>
      </c>
      <c r="B377" s="202"/>
      <c r="C377" s="307" t="s">
        <v>90</v>
      </c>
      <c r="D377" s="263">
        <v>50.4</v>
      </c>
      <c r="E377" s="269" t="s">
        <v>30</v>
      </c>
      <c r="F377" s="185"/>
      <c r="G377" s="185"/>
      <c r="H377" s="185"/>
      <c r="I377" s="185"/>
      <c r="J377" s="185"/>
      <c r="K377" s="185"/>
      <c r="L377" s="238"/>
      <c r="M377" s="9"/>
      <c r="N377" s="33"/>
      <c r="O377" s="404">
        <f>110.84*D377</f>
        <v>5586</v>
      </c>
      <c r="P377" s="188"/>
      <c r="Q377" s="106"/>
      <c r="R377" s="69"/>
      <c r="S377" s="70"/>
      <c r="T377" s="71"/>
      <c r="U377" s="69"/>
      <c r="V377" s="199"/>
      <c r="X377" s="60"/>
    </row>
    <row r="378" spans="1:24" s="59" customFormat="1" ht="29.25" customHeight="1" outlineLevel="1">
      <c r="A378" s="143" t="s">
        <v>344</v>
      </c>
      <c r="B378" s="202"/>
      <c r="C378" s="308" t="s">
        <v>59</v>
      </c>
      <c r="D378" s="263">
        <v>2.3E-2</v>
      </c>
      <c r="E378" s="269" t="s">
        <v>34</v>
      </c>
      <c r="F378" s="185"/>
      <c r="G378" s="185"/>
      <c r="H378" s="185"/>
      <c r="I378" s="185"/>
      <c r="J378" s="185"/>
      <c r="K378" s="185"/>
      <c r="L378" s="238"/>
      <c r="M378" s="9"/>
      <c r="N378" s="33"/>
      <c r="O378" s="155">
        <f>110.84*D378</f>
        <v>2.5499999999999998</v>
      </c>
      <c r="P378" s="149"/>
      <c r="Q378" s="106"/>
      <c r="R378" s="7"/>
      <c r="S378" s="8"/>
      <c r="T378" s="9"/>
      <c r="U378" s="7"/>
      <c r="V378" s="199"/>
      <c r="X378" s="60"/>
    </row>
    <row r="379" spans="1:24" s="59" customFormat="1" ht="37.5" customHeight="1" outlineLevel="1">
      <c r="A379" s="66" t="s">
        <v>345</v>
      </c>
      <c r="B379" s="202"/>
      <c r="C379" s="231" t="s">
        <v>136</v>
      </c>
      <c r="D379" s="313"/>
      <c r="E379" s="267" t="s">
        <v>4</v>
      </c>
      <c r="F379" s="251"/>
      <c r="G379" s="251"/>
      <c r="H379" s="251"/>
      <c r="I379" s="251"/>
      <c r="J379" s="251"/>
      <c r="K379" s="251"/>
      <c r="L379" s="193"/>
      <c r="M379" s="120"/>
      <c r="N379" s="119"/>
      <c r="O379" s="156">
        <f>O380</f>
        <v>115</v>
      </c>
      <c r="P379" s="182">
        <f>P380*O380/O379</f>
        <v>0</v>
      </c>
      <c r="Q379" s="183"/>
      <c r="R379" s="184">
        <f t="shared" ref="R379" si="339">P379+Q379</f>
        <v>0</v>
      </c>
      <c r="S379" s="182">
        <f>O379*P379</f>
        <v>0</v>
      </c>
      <c r="T379" s="185">
        <f>O379*Q379</f>
        <v>0</v>
      </c>
      <c r="U379" s="184">
        <f>S379+T379</f>
        <v>0</v>
      </c>
      <c r="V379" s="199" t="s">
        <v>137</v>
      </c>
      <c r="X379" s="60"/>
    </row>
    <row r="380" spans="1:24" s="59" customFormat="1" ht="37.5" customHeight="1" outlineLevel="1">
      <c r="A380" s="66" t="s">
        <v>346</v>
      </c>
      <c r="B380" s="235">
        <v>4100017642</v>
      </c>
      <c r="C380" s="157" t="s">
        <v>108</v>
      </c>
      <c r="D380" s="314"/>
      <c r="E380" s="256" t="s">
        <v>4</v>
      </c>
      <c r="F380" s="185"/>
      <c r="G380" s="185"/>
      <c r="H380" s="185"/>
      <c r="I380" s="185"/>
      <c r="J380" s="185"/>
      <c r="K380" s="185"/>
      <c r="L380" s="238"/>
      <c r="M380" s="9"/>
      <c r="N380" s="33"/>
      <c r="O380" s="404">
        <f>81.28+33.37</f>
        <v>115</v>
      </c>
      <c r="P380" s="186"/>
      <c r="Q380" s="187"/>
      <c r="R380" s="184"/>
      <c r="S380" s="182"/>
      <c r="T380" s="185"/>
      <c r="U380" s="184"/>
      <c r="V380" s="397" t="s">
        <v>405</v>
      </c>
      <c r="X380" s="60"/>
    </row>
    <row r="381" spans="1:24" s="59" customFormat="1" ht="48" customHeight="1" outlineLevel="1">
      <c r="A381" s="143" t="s">
        <v>347</v>
      </c>
      <c r="B381" s="202"/>
      <c r="C381" s="229" t="s">
        <v>138</v>
      </c>
      <c r="D381" s="340"/>
      <c r="E381" s="268" t="s">
        <v>4</v>
      </c>
      <c r="F381" s="251"/>
      <c r="G381" s="251"/>
      <c r="H381" s="251"/>
      <c r="I381" s="251"/>
      <c r="J381" s="251"/>
      <c r="K381" s="251"/>
      <c r="L381" s="193"/>
      <c r="M381" s="120"/>
      <c r="N381" s="119"/>
      <c r="O381" s="156">
        <v>195.92</v>
      </c>
      <c r="P381" s="182">
        <f>(SUMPRODUCT(O382:O383,P382:P383)/O381)</f>
        <v>0</v>
      </c>
      <c r="Q381" s="183"/>
      <c r="R381" s="184">
        <f t="shared" ref="R381" si="340">P381+Q381</f>
        <v>0</v>
      </c>
      <c r="S381" s="182">
        <f t="shared" ref="S381" si="341">O381*P381</f>
        <v>0</v>
      </c>
      <c r="T381" s="185">
        <f t="shared" ref="T381" si="342">O381*Q381</f>
        <v>0</v>
      </c>
      <c r="U381" s="184">
        <f t="shared" ref="U381" si="343">S381+T381</f>
        <v>0</v>
      </c>
      <c r="V381" s="199"/>
      <c r="X381" s="60"/>
    </row>
    <row r="382" spans="1:24" s="59" customFormat="1" ht="37.5" customHeight="1" outlineLevel="1">
      <c r="A382" s="143" t="s">
        <v>348</v>
      </c>
      <c r="B382" s="233">
        <v>4100027470</v>
      </c>
      <c r="C382" s="309" t="s">
        <v>135</v>
      </c>
      <c r="D382" s="263">
        <v>50.4</v>
      </c>
      <c r="E382" s="263" t="s">
        <v>30</v>
      </c>
      <c r="F382" s="249"/>
      <c r="G382" s="249"/>
      <c r="H382" s="249"/>
      <c r="I382" s="249"/>
      <c r="J382" s="249"/>
      <c r="K382" s="249"/>
      <c r="L382" s="192"/>
      <c r="M382" s="17"/>
      <c r="N382" s="16"/>
      <c r="O382" s="404">
        <f>195.92*D382</f>
        <v>9874</v>
      </c>
      <c r="P382" s="188"/>
      <c r="Q382" s="106"/>
      <c r="R382" s="69"/>
      <c r="S382" s="70"/>
      <c r="T382" s="71"/>
      <c r="U382" s="69"/>
      <c r="V382" s="199"/>
      <c r="X382" s="60"/>
    </row>
    <row r="383" spans="1:24" s="59" customFormat="1" ht="37.5" customHeight="1" outlineLevel="1">
      <c r="A383" s="143" t="s">
        <v>349</v>
      </c>
      <c r="B383" s="202"/>
      <c r="C383" s="309" t="s">
        <v>32</v>
      </c>
      <c r="D383" s="249">
        <v>51</v>
      </c>
      <c r="E383" s="263" t="s">
        <v>31</v>
      </c>
      <c r="F383" s="249"/>
      <c r="G383" s="249"/>
      <c r="H383" s="249"/>
      <c r="I383" s="249"/>
      <c r="J383" s="249"/>
      <c r="K383" s="249"/>
      <c r="L383" s="192"/>
      <c r="M383" s="17"/>
      <c r="N383" s="16"/>
      <c r="O383" s="155">
        <f>195.92*D383</f>
        <v>9991.92</v>
      </c>
      <c r="P383" s="188"/>
      <c r="Q383" s="106"/>
      <c r="R383" s="69"/>
      <c r="S383" s="70"/>
      <c r="T383" s="71"/>
      <c r="U383" s="69"/>
      <c r="V383" s="199"/>
      <c r="X383" s="60"/>
    </row>
    <row r="384" spans="1:24" s="59" customFormat="1" ht="37.5" customHeight="1" outlineLevel="1">
      <c r="A384" s="143" t="s">
        <v>350</v>
      </c>
      <c r="B384" s="202"/>
      <c r="C384" s="229" t="s">
        <v>139</v>
      </c>
      <c r="D384" s="340"/>
      <c r="E384" s="268" t="s">
        <v>4</v>
      </c>
      <c r="F384" s="251"/>
      <c r="G384" s="251"/>
      <c r="H384" s="251"/>
      <c r="I384" s="251"/>
      <c r="J384" s="251"/>
      <c r="K384" s="251"/>
      <c r="L384" s="193"/>
      <c r="M384" s="120"/>
      <c r="N384" s="119"/>
      <c r="O384" s="156">
        <f>O385</f>
        <v>170.12</v>
      </c>
      <c r="P384" s="182">
        <f>(SUMPRODUCT(O385:O387,P385:P387)/O384)</f>
        <v>0</v>
      </c>
      <c r="Q384" s="183"/>
      <c r="R384" s="184">
        <f t="shared" ref="R384" si="344">P384+Q384</f>
        <v>0</v>
      </c>
      <c r="S384" s="182">
        <f t="shared" ref="S384" si="345">O384*P384</f>
        <v>0</v>
      </c>
      <c r="T384" s="185">
        <f t="shared" ref="T384" si="346">O384*Q384</f>
        <v>0</v>
      </c>
      <c r="U384" s="184">
        <f t="shared" ref="U384" si="347">S384+T384</f>
        <v>0</v>
      </c>
      <c r="V384" s="199"/>
      <c r="X384" s="60"/>
    </row>
    <row r="385" spans="1:24" s="59" customFormat="1" ht="37.5" customHeight="1" outlineLevel="1">
      <c r="A385" s="143" t="s">
        <v>351</v>
      </c>
      <c r="B385" s="202"/>
      <c r="C385" s="10" t="s">
        <v>18</v>
      </c>
      <c r="D385" s="295"/>
      <c r="E385" s="263" t="s">
        <v>4</v>
      </c>
      <c r="F385" s="249"/>
      <c r="G385" s="249"/>
      <c r="H385" s="249"/>
      <c r="I385" s="249"/>
      <c r="J385" s="249"/>
      <c r="K385" s="249"/>
      <c r="L385" s="192"/>
      <c r="M385" s="17"/>
      <c r="N385" s="16"/>
      <c r="O385" s="155">
        <v>170.12</v>
      </c>
      <c r="P385" s="188"/>
      <c r="Q385" s="106"/>
      <c r="R385" s="69"/>
      <c r="S385" s="70"/>
      <c r="T385" s="71"/>
      <c r="U385" s="69"/>
      <c r="V385" s="199"/>
      <c r="X385" s="60"/>
    </row>
    <row r="386" spans="1:24" s="59" customFormat="1" ht="37.5" customHeight="1" outlineLevel="1">
      <c r="A386" s="143" t="s">
        <v>352</v>
      </c>
      <c r="B386" s="233">
        <v>4100027470</v>
      </c>
      <c r="C386" s="10" t="s">
        <v>135</v>
      </c>
      <c r="D386" s="258">
        <v>50.4</v>
      </c>
      <c r="E386" s="263" t="s">
        <v>30</v>
      </c>
      <c r="F386" s="249"/>
      <c r="G386" s="249"/>
      <c r="H386" s="249"/>
      <c r="I386" s="249"/>
      <c r="J386" s="249"/>
      <c r="K386" s="249"/>
      <c r="L386" s="192"/>
      <c r="M386" s="17"/>
      <c r="N386" s="16"/>
      <c r="O386" s="404">
        <f>196.92*D386</f>
        <v>9925</v>
      </c>
      <c r="P386" s="188"/>
      <c r="Q386" s="106"/>
      <c r="R386" s="69"/>
      <c r="S386" s="70"/>
      <c r="T386" s="71"/>
      <c r="U386" s="69"/>
      <c r="V386" s="199"/>
      <c r="X386" s="60"/>
    </row>
    <row r="387" spans="1:24" s="59" customFormat="1" ht="37.5" customHeight="1" outlineLevel="1">
      <c r="A387" s="143" t="s">
        <v>353</v>
      </c>
      <c r="B387" s="202"/>
      <c r="C387" s="10" t="s">
        <v>32</v>
      </c>
      <c r="D387" s="255">
        <v>51</v>
      </c>
      <c r="E387" s="263" t="s">
        <v>31</v>
      </c>
      <c r="F387" s="249"/>
      <c r="G387" s="249"/>
      <c r="H387" s="249"/>
      <c r="I387" s="249"/>
      <c r="J387" s="249"/>
      <c r="K387" s="249"/>
      <c r="L387" s="192"/>
      <c r="M387" s="17"/>
      <c r="N387" s="16"/>
      <c r="O387" s="155">
        <f>196.92*D387</f>
        <v>10042.92</v>
      </c>
      <c r="P387" s="188"/>
      <c r="Q387" s="158"/>
      <c r="R387" s="7"/>
      <c r="S387" s="8"/>
      <c r="T387" s="9"/>
      <c r="U387" s="7"/>
      <c r="V387" s="199"/>
      <c r="X387" s="60"/>
    </row>
    <row r="388" spans="1:24" s="59" customFormat="1" ht="30.75" customHeight="1">
      <c r="A388" s="275" t="s">
        <v>333</v>
      </c>
      <c r="B388" s="234"/>
      <c r="C388" s="110" t="s">
        <v>419</v>
      </c>
      <c r="D388" s="159"/>
      <c r="E388" s="160"/>
      <c r="F388" s="161"/>
      <c r="G388" s="161"/>
      <c r="H388" s="161"/>
      <c r="I388" s="161"/>
      <c r="J388" s="161"/>
      <c r="K388" s="161"/>
      <c r="L388" s="161"/>
      <c r="M388" s="161"/>
      <c r="N388" s="162"/>
      <c r="O388" s="152"/>
      <c r="P388" s="163"/>
      <c r="Q388" s="164"/>
      <c r="R388" s="165"/>
      <c r="S388" s="301">
        <f>SUM(S389:S390)</f>
        <v>0</v>
      </c>
      <c r="T388" s="302">
        <f>SUM(T389:T390)</f>
        <v>0</v>
      </c>
      <c r="U388" s="303">
        <f>T388+S388</f>
        <v>0</v>
      </c>
      <c r="V388" s="292"/>
      <c r="X388" s="60"/>
    </row>
    <row r="389" spans="1:24" s="59" customFormat="1" ht="37.5" customHeight="1" outlineLevel="1">
      <c r="A389" s="143" t="s">
        <v>334</v>
      </c>
      <c r="B389" s="202"/>
      <c r="C389" s="90" t="s">
        <v>420</v>
      </c>
      <c r="D389" s="15"/>
      <c r="E389" s="144" t="s">
        <v>4</v>
      </c>
      <c r="F389" s="9"/>
      <c r="G389" s="9"/>
      <c r="H389" s="9"/>
      <c r="I389" s="9"/>
      <c r="J389" s="9"/>
      <c r="K389" s="9"/>
      <c r="L389" s="9"/>
      <c r="M389" s="9"/>
      <c r="N389" s="33"/>
      <c r="O389" s="118">
        <v>966.25</v>
      </c>
      <c r="P389" s="183"/>
      <c r="Q389" s="183"/>
      <c r="R389" s="184">
        <f t="shared" ref="R389:R390" si="348">P389+Q389</f>
        <v>0</v>
      </c>
      <c r="S389" s="182">
        <f t="shared" ref="S389:S390" si="349">O389*P389</f>
        <v>0</v>
      </c>
      <c r="T389" s="185">
        <f t="shared" ref="T389:T390" si="350">O389*Q389</f>
        <v>0</v>
      </c>
      <c r="U389" s="184">
        <f t="shared" ref="U389:U390" si="351">S389+T389</f>
        <v>0</v>
      </c>
      <c r="V389" s="199"/>
      <c r="X389" s="60"/>
    </row>
    <row r="390" spans="1:24" s="59" customFormat="1" ht="37.5" customHeight="1" outlineLevel="1">
      <c r="A390" s="143" t="s">
        <v>335</v>
      </c>
      <c r="B390" s="202"/>
      <c r="C390" s="90" t="s">
        <v>336</v>
      </c>
      <c r="D390" s="15"/>
      <c r="E390" s="144" t="s">
        <v>4</v>
      </c>
      <c r="F390" s="9"/>
      <c r="G390" s="9"/>
      <c r="H390" s="9"/>
      <c r="I390" s="9"/>
      <c r="J390" s="9"/>
      <c r="K390" s="9"/>
      <c r="L390" s="9"/>
      <c r="M390" s="9"/>
      <c r="N390" s="33"/>
      <c r="O390" s="118">
        <v>778.57</v>
      </c>
      <c r="P390" s="183"/>
      <c r="Q390" s="183"/>
      <c r="R390" s="184">
        <f t="shared" si="348"/>
        <v>0</v>
      </c>
      <c r="S390" s="182">
        <f t="shared" si="349"/>
        <v>0</v>
      </c>
      <c r="T390" s="185">
        <f t="shared" si="350"/>
        <v>0</v>
      </c>
      <c r="U390" s="184">
        <f t="shared" si="351"/>
        <v>0</v>
      </c>
      <c r="V390" s="199"/>
      <c r="X390" s="60"/>
    </row>
    <row r="391" spans="1:24" s="59" customFormat="1" ht="36" customHeight="1">
      <c r="A391" s="180" t="s">
        <v>408</v>
      </c>
      <c r="B391" s="174"/>
      <c r="C391" s="181" t="s">
        <v>96</v>
      </c>
      <c r="D391" s="181"/>
      <c r="E391" s="176"/>
      <c r="F391" s="175"/>
      <c r="G391" s="176"/>
      <c r="H391" s="176"/>
      <c r="I391" s="176"/>
      <c r="J391" s="176"/>
      <c r="K391" s="176"/>
      <c r="L391" s="176"/>
      <c r="M391" s="176"/>
      <c r="N391" s="177"/>
      <c r="O391" s="178"/>
      <c r="P391" s="175"/>
      <c r="Q391" s="176"/>
      <c r="R391" s="179"/>
      <c r="S391" s="285">
        <f>S392</f>
        <v>0</v>
      </c>
      <c r="T391" s="286">
        <f>T392</f>
        <v>0</v>
      </c>
      <c r="U391" s="287">
        <f>T391+S391</f>
        <v>0</v>
      </c>
      <c r="V391" s="178"/>
      <c r="X391" s="60"/>
    </row>
    <row r="392" spans="1:24" s="59" customFormat="1" ht="37.5" customHeight="1">
      <c r="A392" s="214">
        <v>1</v>
      </c>
      <c r="B392" s="257"/>
      <c r="C392" s="324" t="s">
        <v>411</v>
      </c>
      <c r="D392" s="326"/>
      <c r="E392" s="217"/>
      <c r="F392" s="217"/>
      <c r="G392" s="217"/>
      <c r="H392" s="217"/>
      <c r="I392" s="217"/>
      <c r="J392" s="217"/>
      <c r="K392" s="217"/>
      <c r="L392" s="217"/>
      <c r="M392" s="217"/>
      <c r="N392" s="218"/>
      <c r="O392" s="219"/>
      <c r="P392" s="220"/>
      <c r="Q392" s="221"/>
      <c r="R392" s="222"/>
      <c r="S392" s="281">
        <f>S393+S464</f>
        <v>0</v>
      </c>
      <c r="T392" s="284">
        <f>T393+T464</f>
        <v>0</v>
      </c>
      <c r="U392" s="283">
        <f>T392+S392</f>
        <v>0</v>
      </c>
      <c r="V392" s="288"/>
      <c r="X392" s="60"/>
    </row>
    <row r="393" spans="1:24" s="59" customFormat="1" ht="40.5" customHeight="1">
      <c r="A393" s="213" t="s">
        <v>12</v>
      </c>
      <c r="B393" s="232"/>
      <c r="C393" s="325" t="s">
        <v>106</v>
      </c>
      <c r="D393" s="327"/>
      <c r="E393" s="82"/>
      <c r="F393" s="83"/>
      <c r="G393" s="83"/>
      <c r="H393" s="83"/>
      <c r="I393" s="83"/>
      <c r="J393" s="83"/>
      <c r="K393" s="83"/>
      <c r="L393" s="246"/>
      <c r="M393" s="246"/>
      <c r="N393" s="260"/>
      <c r="O393" s="98"/>
      <c r="P393" s="95"/>
      <c r="Q393" s="84"/>
      <c r="R393" s="85"/>
      <c r="S393" s="226">
        <f>SUM(S394:S463)</f>
        <v>0</v>
      </c>
      <c r="T393" s="227">
        <f>SUM(T394:T463)</f>
        <v>0</v>
      </c>
      <c r="U393" s="212">
        <f>T393+S393</f>
        <v>0</v>
      </c>
      <c r="V393" s="289"/>
      <c r="X393" s="60"/>
    </row>
    <row r="394" spans="1:24" s="59" customFormat="1" ht="38.25" customHeight="1" outlineLevel="1">
      <c r="A394" s="66" t="s">
        <v>25</v>
      </c>
      <c r="B394" s="202"/>
      <c r="C394" s="89" t="s">
        <v>422</v>
      </c>
      <c r="D394" s="321"/>
      <c r="E394" s="261" t="s">
        <v>4</v>
      </c>
      <c r="F394" s="262"/>
      <c r="G394" s="262"/>
      <c r="H394" s="262"/>
      <c r="I394" s="251"/>
      <c r="J394" s="251"/>
      <c r="K394" s="251"/>
      <c r="L394" s="264">
        <v>12.18</v>
      </c>
      <c r="M394" s="251">
        <v>6.01</v>
      </c>
      <c r="N394" s="193">
        <v>6.35</v>
      </c>
      <c r="O394" s="190">
        <f>SUM(L394:N394)</f>
        <v>24.54</v>
      </c>
      <c r="P394" s="182">
        <f>P395*O395/O394</f>
        <v>0</v>
      </c>
      <c r="Q394" s="183"/>
      <c r="R394" s="184">
        <f t="shared" ref="R394" si="352">P394+Q394</f>
        <v>0</v>
      </c>
      <c r="S394" s="182">
        <f>O394*P394</f>
        <v>0</v>
      </c>
      <c r="T394" s="185">
        <f>O394*Q394</f>
        <v>0</v>
      </c>
      <c r="U394" s="184">
        <f>S394+T394</f>
        <v>0</v>
      </c>
      <c r="V394" s="290" t="s">
        <v>109</v>
      </c>
      <c r="X394" s="60"/>
    </row>
    <row r="395" spans="1:24" s="59" customFormat="1" ht="37.5" customHeight="1" outlineLevel="1">
      <c r="A395" s="66" t="s">
        <v>87</v>
      </c>
      <c r="B395" s="235">
        <v>4100017642</v>
      </c>
      <c r="C395" s="157" t="s">
        <v>108</v>
      </c>
      <c r="D395" s="316"/>
      <c r="E395" s="263" t="s">
        <v>4</v>
      </c>
      <c r="F395" s="262"/>
      <c r="G395" s="262"/>
      <c r="H395" s="262"/>
      <c r="I395" s="249"/>
      <c r="J395" s="249"/>
      <c r="K395" s="249"/>
      <c r="L395" s="265">
        <v>12.18</v>
      </c>
      <c r="M395" s="249">
        <v>6.01</v>
      </c>
      <c r="N395" s="192">
        <v>6.35</v>
      </c>
      <c r="O395" s="123">
        <f t="shared" ref="O395:O448" si="353">SUM(L395:N395)</f>
        <v>24.54</v>
      </c>
      <c r="P395" s="186"/>
      <c r="Q395" s="187"/>
      <c r="R395" s="184"/>
      <c r="S395" s="182"/>
      <c r="T395" s="185"/>
      <c r="U395" s="184"/>
      <c r="V395" s="397" t="s">
        <v>405</v>
      </c>
      <c r="X395" s="60"/>
    </row>
    <row r="396" spans="1:24" s="59" customFormat="1" ht="37.5" customHeight="1" outlineLevel="1">
      <c r="A396" s="66" t="s">
        <v>37</v>
      </c>
      <c r="B396" s="202"/>
      <c r="C396" s="229" t="s">
        <v>587</v>
      </c>
      <c r="D396" s="321"/>
      <c r="E396" s="261" t="s">
        <v>4</v>
      </c>
      <c r="F396" s="262"/>
      <c r="G396" s="262"/>
      <c r="H396" s="262"/>
      <c r="I396" s="264"/>
      <c r="J396" s="264"/>
      <c r="K396" s="264"/>
      <c r="L396" s="278">
        <v>1.3</v>
      </c>
      <c r="M396" s="278">
        <v>1.9</v>
      </c>
      <c r="N396" s="276">
        <v>1.37</v>
      </c>
      <c r="O396" s="190">
        <f t="shared" ref="O396:O399" si="354">SUM(L396:N396)</f>
        <v>4.57</v>
      </c>
      <c r="P396" s="182">
        <f>(SUMPRODUCT(O397:O399,P397:P399)/O396)</f>
        <v>0</v>
      </c>
      <c r="Q396" s="183"/>
      <c r="R396" s="184">
        <f t="shared" ref="R396" si="355">P396+Q396</f>
        <v>0</v>
      </c>
      <c r="S396" s="182">
        <f t="shared" ref="S396" si="356">O396*P396</f>
        <v>0</v>
      </c>
      <c r="T396" s="185">
        <f t="shared" ref="T396" si="357">O396*Q396</f>
        <v>0</v>
      </c>
      <c r="U396" s="184">
        <f t="shared" ref="U396" si="358">S396+T396</f>
        <v>0</v>
      </c>
      <c r="V396" s="200" t="s">
        <v>123</v>
      </c>
      <c r="X396" s="60"/>
    </row>
    <row r="397" spans="1:24" s="59" customFormat="1" ht="37.5" customHeight="1" outlineLevel="1">
      <c r="A397" s="66" t="s">
        <v>61</v>
      </c>
      <c r="B397" s="202"/>
      <c r="C397" s="309" t="s">
        <v>16</v>
      </c>
      <c r="D397" s="316"/>
      <c r="E397" s="265" t="s">
        <v>4</v>
      </c>
      <c r="F397" s="262"/>
      <c r="G397" s="262"/>
      <c r="H397" s="262"/>
      <c r="I397" s="249"/>
      <c r="J397" s="249"/>
      <c r="K397" s="249"/>
      <c r="L397" s="426">
        <v>1.3</v>
      </c>
      <c r="M397" s="249">
        <v>1.9</v>
      </c>
      <c r="N397" s="192">
        <v>1.37</v>
      </c>
      <c r="O397" s="123">
        <f t="shared" si="354"/>
        <v>4.57</v>
      </c>
      <c r="P397" s="188"/>
      <c r="Q397" s="189"/>
      <c r="R397" s="184"/>
      <c r="S397" s="182"/>
      <c r="T397" s="185"/>
      <c r="U397" s="184"/>
      <c r="V397" s="200"/>
      <c r="X397" s="60"/>
    </row>
    <row r="398" spans="1:24" s="59" customFormat="1" ht="37.5" customHeight="1" outlineLevel="1">
      <c r="A398" s="66" t="s">
        <v>150</v>
      </c>
      <c r="B398" s="202"/>
      <c r="C398" s="307" t="s">
        <v>90</v>
      </c>
      <c r="D398" s="328">
        <v>50.4</v>
      </c>
      <c r="E398" s="266" t="s">
        <v>30</v>
      </c>
      <c r="F398" s="262"/>
      <c r="G398" s="262"/>
      <c r="H398" s="262"/>
      <c r="I398" s="249"/>
      <c r="J398" s="249"/>
      <c r="K398" s="249"/>
      <c r="L398" s="256">
        <f>1.02*D398</f>
        <v>51.41</v>
      </c>
      <c r="M398" s="249">
        <f>1.62*D398</f>
        <v>81.650000000000006</v>
      </c>
      <c r="N398" s="192">
        <f>1.09*D398</f>
        <v>54.94</v>
      </c>
      <c r="O398" s="123">
        <f t="shared" si="354"/>
        <v>188</v>
      </c>
      <c r="P398" s="188"/>
      <c r="Q398" s="189"/>
      <c r="R398" s="184"/>
      <c r="S398" s="182"/>
      <c r="T398" s="185"/>
      <c r="U398" s="184"/>
      <c r="V398" s="200"/>
      <c r="X398" s="60"/>
    </row>
    <row r="399" spans="1:24" s="59" customFormat="1" ht="37.5" customHeight="1" outlineLevel="1">
      <c r="A399" s="66" t="s">
        <v>151</v>
      </c>
      <c r="B399" s="202"/>
      <c r="C399" s="308" t="s">
        <v>59</v>
      </c>
      <c r="D399" s="311">
        <v>2.3E-2</v>
      </c>
      <c r="E399" s="256" t="s">
        <v>34</v>
      </c>
      <c r="F399" s="262"/>
      <c r="G399" s="262"/>
      <c r="H399" s="262"/>
      <c r="I399" s="185"/>
      <c r="J399" s="185"/>
      <c r="K399" s="185"/>
      <c r="L399" s="256">
        <f>1.02*D399</f>
        <v>0.02</v>
      </c>
      <c r="M399" s="249">
        <f>1.62*D399</f>
        <v>0.04</v>
      </c>
      <c r="N399" s="192">
        <f>1.09*D399</f>
        <v>0.03</v>
      </c>
      <c r="O399" s="123">
        <f t="shared" si="354"/>
        <v>0.09</v>
      </c>
      <c r="P399" s="96"/>
      <c r="Q399" s="189"/>
      <c r="R399" s="69"/>
      <c r="S399" s="87"/>
      <c r="T399" s="230"/>
      <c r="U399" s="69"/>
      <c r="V399" s="200"/>
      <c r="X399" s="60"/>
    </row>
    <row r="400" spans="1:24" s="59" customFormat="1" ht="37.5" customHeight="1" outlineLevel="1">
      <c r="A400" s="66" t="s">
        <v>38</v>
      </c>
      <c r="B400" s="202"/>
      <c r="C400" s="229" t="s">
        <v>588</v>
      </c>
      <c r="D400" s="321"/>
      <c r="E400" s="261" t="s">
        <v>4</v>
      </c>
      <c r="F400" s="262"/>
      <c r="G400" s="262"/>
      <c r="H400" s="262"/>
      <c r="I400" s="264"/>
      <c r="J400" s="264"/>
      <c r="K400" s="264"/>
      <c r="L400" s="264">
        <v>1.97</v>
      </c>
      <c r="M400" s="278">
        <v>3.42</v>
      </c>
      <c r="N400" s="276"/>
      <c r="O400" s="190">
        <f t="shared" si="353"/>
        <v>5.39</v>
      </c>
      <c r="P400" s="182">
        <f>(SUMPRODUCT(O401:O404,P401:P404)/O400)</f>
        <v>0</v>
      </c>
      <c r="Q400" s="183"/>
      <c r="R400" s="184">
        <f t="shared" ref="R400" si="359">P400+Q400</f>
        <v>0</v>
      </c>
      <c r="S400" s="182">
        <f t="shared" ref="S400" si="360">O400*P400</f>
        <v>0</v>
      </c>
      <c r="T400" s="185">
        <f t="shared" ref="T400" si="361">O400*Q400</f>
        <v>0</v>
      </c>
      <c r="U400" s="184">
        <f t="shared" ref="U400" si="362">S400+T400</f>
        <v>0</v>
      </c>
      <c r="V400" s="200" t="s">
        <v>123</v>
      </c>
      <c r="X400" s="60"/>
    </row>
    <row r="401" spans="1:24" s="59" customFormat="1" ht="37.5" customHeight="1" outlineLevel="1">
      <c r="A401" s="66" t="s">
        <v>62</v>
      </c>
      <c r="B401" s="202"/>
      <c r="C401" s="416" t="s">
        <v>18</v>
      </c>
      <c r="D401" s="316"/>
      <c r="E401" s="265" t="s">
        <v>4</v>
      </c>
      <c r="F401" s="262"/>
      <c r="G401" s="262"/>
      <c r="H401" s="262"/>
      <c r="I401" s="249"/>
      <c r="J401" s="249"/>
      <c r="K401" s="249"/>
      <c r="L401" s="265">
        <v>1.97</v>
      </c>
      <c r="M401" s="249">
        <v>3.42</v>
      </c>
      <c r="N401" s="192"/>
      <c r="O401" s="123">
        <f t="shared" si="353"/>
        <v>5.39</v>
      </c>
      <c r="P401" s="188"/>
      <c r="Q401" s="189"/>
      <c r="R401" s="184"/>
      <c r="S401" s="182"/>
      <c r="T401" s="185"/>
      <c r="U401" s="184"/>
      <c r="V401" s="200"/>
      <c r="X401" s="60"/>
    </row>
    <row r="402" spans="1:24" s="59" customFormat="1" ht="37.5" customHeight="1" outlineLevel="1">
      <c r="A402" s="66" t="s">
        <v>63</v>
      </c>
      <c r="B402" s="205"/>
      <c r="C402" s="416" t="s">
        <v>129</v>
      </c>
      <c r="D402" s="316"/>
      <c r="E402" s="265" t="s">
        <v>4</v>
      </c>
      <c r="F402" s="262"/>
      <c r="G402" s="262"/>
      <c r="H402" s="262"/>
      <c r="I402" s="249"/>
      <c r="J402" s="249"/>
      <c r="K402" s="249"/>
      <c r="L402" s="265">
        <v>1.97</v>
      </c>
      <c r="M402" s="249">
        <v>3.42</v>
      </c>
      <c r="N402" s="192"/>
      <c r="O402" s="123">
        <f t="shared" si="353"/>
        <v>5.39</v>
      </c>
      <c r="P402" s="188"/>
      <c r="Q402" s="189"/>
      <c r="R402" s="184"/>
      <c r="S402" s="182"/>
      <c r="T402" s="185"/>
      <c r="U402" s="184"/>
      <c r="V402" s="200"/>
      <c r="X402" s="60"/>
    </row>
    <row r="403" spans="1:24" s="59" customFormat="1" ht="37.5" customHeight="1" outlineLevel="1">
      <c r="A403" s="66" t="s">
        <v>531</v>
      </c>
      <c r="B403" s="202"/>
      <c r="C403" s="307" t="s">
        <v>90</v>
      </c>
      <c r="D403" s="328">
        <v>50.4</v>
      </c>
      <c r="E403" s="266" t="s">
        <v>30</v>
      </c>
      <c r="F403" s="262"/>
      <c r="G403" s="262"/>
      <c r="H403" s="262"/>
      <c r="I403" s="249"/>
      <c r="J403" s="249"/>
      <c r="K403" s="249"/>
      <c r="L403" s="256">
        <f>1.97*D403</f>
        <v>99.29</v>
      </c>
      <c r="M403" s="249">
        <f>3.12*D403</f>
        <v>157.25</v>
      </c>
      <c r="N403" s="192"/>
      <c r="O403" s="123">
        <f t="shared" si="353"/>
        <v>256.54000000000002</v>
      </c>
      <c r="P403" s="188"/>
      <c r="Q403" s="189"/>
      <c r="R403" s="184"/>
      <c r="S403" s="182"/>
      <c r="T403" s="185"/>
      <c r="U403" s="184"/>
      <c r="V403" s="200"/>
      <c r="X403" s="60"/>
    </row>
    <row r="404" spans="1:24" s="59" customFormat="1" ht="37.5" customHeight="1" outlineLevel="1">
      <c r="A404" s="66" t="s">
        <v>532</v>
      </c>
      <c r="B404" s="202"/>
      <c r="C404" s="308" t="s">
        <v>59</v>
      </c>
      <c r="D404" s="311">
        <v>2.3E-2</v>
      </c>
      <c r="E404" s="256" t="s">
        <v>34</v>
      </c>
      <c r="F404" s="262"/>
      <c r="G404" s="262"/>
      <c r="H404" s="262"/>
      <c r="I404" s="185"/>
      <c r="J404" s="185"/>
      <c r="K404" s="185"/>
      <c r="L404" s="256">
        <f>1.97*D404</f>
        <v>0.05</v>
      </c>
      <c r="M404" s="249">
        <f>3.12*D404</f>
        <v>7.0000000000000007E-2</v>
      </c>
      <c r="N404" s="192"/>
      <c r="O404" s="123">
        <f t="shared" si="353"/>
        <v>0.12</v>
      </c>
      <c r="P404" s="96"/>
      <c r="Q404" s="189"/>
      <c r="R404" s="69"/>
      <c r="S404" s="87"/>
      <c r="T404" s="230"/>
      <c r="U404" s="69"/>
      <c r="V404" s="200"/>
      <c r="X404" s="60"/>
    </row>
    <row r="405" spans="1:24" s="59" customFormat="1" ht="42" customHeight="1" outlineLevel="1">
      <c r="A405" s="66" t="s">
        <v>26</v>
      </c>
      <c r="B405" s="202"/>
      <c r="C405" s="231" t="s">
        <v>220</v>
      </c>
      <c r="D405" s="310"/>
      <c r="E405" s="267" t="s">
        <v>4</v>
      </c>
      <c r="F405" s="262"/>
      <c r="G405" s="262"/>
      <c r="H405" s="262"/>
      <c r="I405" s="251"/>
      <c r="J405" s="251"/>
      <c r="K405" s="251"/>
      <c r="L405" s="251">
        <v>3.42</v>
      </c>
      <c r="M405" s="251">
        <v>1.89</v>
      </c>
      <c r="N405" s="193"/>
      <c r="O405" s="190">
        <f t="shared" si="353"/>
        <v>5.31</v>
      </c>
      <c r="P405" s="182">
        <f>(SUMPRODUCT(O406:O407,P406:P407)/O405)</f>
        <v>0</v>
      </c>
      <c r="Q405" s="183"/>
      <c r="R405" s="184">
        <f t="shared" ref="R405" si="363">P405+Q405</f>
        <v>0</v>
      </c>
      <c r="S405" s="182">
        <f t="shared" ref="S405" si="364">O405*P405</f>
        <v>0</v>
      </c>
      <c r="T405" s="185">
        <f t="shared" ref="T405" si="365">O405*Q405</f>
        <v>0</v>
      </c>
      <c r="U405" s="184">
        <f t="shared" ref="U405" si="366">S405+T405</f>
        <v>0</v>
      </c>
      <c r="V405" s="200"/>
      <c r="X405" s="60"/>
    </row>
    <row r="406" spans="1:24" s="59" customFormat="1" ht="37.5" customHeight="1" outlineLevel="1">
      <c r="A406" s="66" t="s">
        <v>64</v>
      </c>
      <c r="B406" s="202"/>
      <c r="C406" s="307" t="s">
        <v>90</v>
      </c>
      <c r="D406" s="266">
        <v>50.4</v>
      </c>
      <c r="E406" s="256" t="s">
        <v>30</v>
      </c>
      <c r="F406" s="262"/>
      <c r="G406" s="262"/>
      <c r="H406" s="262"/>
      <c r="I406" s="249"/>
      <c r="J406" s="249"/>
      <c r="K406" s="249"/>
      <c r="L406" s="402">
        <f>3.42*D406</f>
        <v>172</v>
      </c>
      <c r="M406" s="402">
        <f>1.89*D406</f>
        <v>95</v>
      </c>
      <c r="N406" s="192"/>
      <c r="O406" s="123">
        <f t="shared" si="353"/>
        <v>267</v>
      </c>
      <c r="P406" s="188"/>
      <c r="Q406" s="189"/>
      <c r="R406" s="184"/>
      <c r="S406" s="182"/>
      <c r="T406" s="185"/>
      <c r="U406" s="184"/>
      <c r="V406" s="200"/>
      <c r="X406" s="60"/>
    </row>
    <row r="407" spans="1:24" s="59" customFormat="1" ht="37.5" customHeight="1" outlineLevel="1">
      <c r="A407" s="66" t="s">
        <v>65</v>
      </c>
      <c r="B407" s="202"/>
      <c r="C407" s="308" t="s">
        <v>59</v>
      </c>
      <c r="D407" s="311">
        <v>2.3E-2</v>
      </c>
      <c r="E407" s="256" t="s">
        <v>34</v>
      </c>
      <c r="F407" s="262"/>
      <c r="G407" s="262"/>
      <c r="H407" s="262"/>
      <c r="I407" s="249"/>
      <c r="J407" s="249"/>
      <c r="K407" s="249"/>
      <c r="L407" s="249">
        <f>3.42*D407</f>
        <v>0.08</v>
      </c>
      <c r="M407" s="249">
        <f>1.89*D407</f>
        <v>0.04</v>
      </c>
      <c r="N407" s="192"/>
      <c r="O407" s="123">
        <f t="shared" si="353"/>
        <v>0.12</v>
      </c>
      <c r="P407" s="188"/>
      <c r="Q407" s="189"/>
      <c r="R407" s="184"/>
      <c r="S407" s="182"/>
      <c r="T407" s="185"/>
      <c r="U407" s="184"/>
      <c r="V407" s="200"/>
      <c r="X407" s="60"/>
    </row>
    <row r="408" spans="1:24" s="59" customFormat="1" ht="48.75" customHeight="1" outlineLevel="1">
      <c r="A408" s="66" t="s">
        <v>27</v>
      </c>
      <c r="B408" s="202"/>
      <c r="C408" s="231" t="s">
        <v>564</v>
      </c>
      <c r="D408" s="312"/>
      <c r="E408" s="267" t="s">
        <v>4</v>
      </c>
      <c r="F408" s="262"/>
      <c r="G408" s="262"/>
      <c r="H408" s="262"/>
      <c r="I408" s="251"/>
      <c r="J408" s="251"/>
      <c r="K408" s="251"/>
      <c r="L408" s="251">
        <f>L409+L410</f>
        <v>5.52</v>
      </c>
      <c r="M408" s="251">
        <f t="shared" ref="M408:N408" si="367">M409+M410</f>
        <v>8.1</v>
      </c>
      <c r="N408" s="251">
        <f t="shared" si="367"/>
        <v>57.33</v>
      </c>
      <c r="O408" s="190">
        <f t="shared" ref="O408:O412" si="368">SUM(L408:N408)</f>
        <v>70.95</v>
      </c>
      <c r="P408" s="182">
        <f>(SUMPRODUCT(O409:O412,P409:P412)/O408)</f>
        <v>0</v>
      </c>
      <c r="Q408" s="183"/>
      <c r="R408" s="184">
        <f t="shared" ref="R408" si="369">P408+Q408</f>
        <v>0</v>
      </c>
      <c r="S408" s="182">
        <f t="shared" ref="S408" si="370">O408*P408</f>
        <v>0</v>
      </c>
      <c r="T408" s="185">
        <f t="shared" ref="T408" si="371">O408*Q408</f>
        <v>0</v>
      </c>
      <c r="U408" s="184">
        <f t="shared" ref="U408" si="372">S408+T408</f>
        <v>0</v>
      </c>
      <c r="V408" s="200"/>
      <c r="X408" s="60"/>
    </row>
    <row r="409" spans="1:24" s="59" customFormat="1" ht="37.5" customHeight="1" outlineLevel="1">
      <c r="A409" s="66" t="s">
        <v>67</v>
      </c>
      <c r="B409" s="202"/>
      <c r="C409" s="307" t="s">
        <v>16</v>
      </c>
      <c r="D409" s="310"/>
      <c r="E409" s="256" t="s">
        <v>4</v>
      </c>
      <c r="F409" s="296"/>
      <c r="G409" s="296"/>
      <c r="H409" s="296"/>
      <c r="I409" s="249"/>
      <c r="J409" s="249"/>
      <c r="K409" s="249"/>
      <c r="L409" s="249">
        <v>5.52</v>
      </c>
      <c r="M409" s="249">
        <v>7.83</v>
      </c>
      <c r="N409" s="192">
        <v>56.97</v>
      </c>
      <c r="O409" s="123">
        <f t="shared" si="368"/>
        <v>70.319999999999993</v>
      </c>
      <c r="P409" s="188"/>
      <c r="Q409" s="189"/>
      <c r="R409" s="184"/>
      <c r="S409" s="182"/>
      <c r="T409" s="185"/>
      <c r="U409" s="184"/>
      <c r="V409" s="200"/>
      <c r="X409" s="60"/>
    </row>
    <row r="410" spans="1:24" s="59" customFormat="1" ht="37.5" customHeight="1" outlineLevel="1">
      <c r="A410" s="66" t="s">
        <v>68</v>
      </c>
      <c r="B410" s="202"/>
      <c r="C410" s="307" t="s">
        <v>18</v>
      </c>
      <c r="D410" s="310"/>
      <c r="E410" s="256" t="s">
        <v>4</v>
      </c>
      <c r="F410" s="296"/>
      <c r="G410" s="296"/>
      <c r="H410" s="296"/>
      <c r="I410" s="249"/>
      <c r="J410" s="249"/>
      <c r="K410" s="249"/>
      <c r="L410" s="249"/>
      <c r="M410" s="249">
        <v>0.27</v>
      </c>
      <c r="N410" s="192">
        <v>0.36</v>
      </c>
      <c r="O410" s="123">
        <f t="shared" si="368"/>
        <v>0.63</v>
      </c>
      <c r="P410" s="188"/>
      <c r="Q410" s="189"/>
      <c r="R410" s="184"/>
      <c r="S410" s="182"/>
      <c r="T410" s="185"/>
      <c r="U410" s="184"/>
      <c r="V410" s="200"/>
      <c r="X410" s="60"/>
    </row>
    <row r="411" spans="1:24" s="59" customFormat="1" ht="37.5" customHeight="1" outlineLevel="1">
      <c r="A411" s="66" t="s">
        <v>88</v>
      </c>
      <c r="B411" s="202"/>
      <c r="C411" s="307" t="s">
        <v>90</v>
      </c>
      <c r="D411" s="266">
        <v>50.4</v>
      </c>
      <c r="E411" s="256" t="s">
        <v>30</v>
      </c>
      <c r="F411" s="296"/>
      <c r="G411" s="296"/>
      <c r="H411" s="296"/>
      <c r="I411" s="249"/>
      <c r="J411" s="249"/>
      <c r="K411" s="249"/>
      <c r="L411" s="402">
        <f>5.4*D411</f>
        <v>272</v>
      </c>
      <c r="M411" s="402">
        <f>7.78*D411</f>
        <v>392</v>
      </c>
      <c r="N411" s="403">
        <f>59.31*D411</f>
        <v>2989</v>
      </c>
      <c r="O411" s="123">
        <f t="shared" si="368"/>
        <v>3653</v>
      </c>
      <c r="P411" s="188"/>
      <c r="Q411" s="106"/>
      <c r="R411" s="69"/>
      <c r="S411" s="70"/>
      <c r="T411" s="71"/>
      <c r="U411" s="69"/>
      <c r="V411" s="200"/>
      <c r="X411" s="60"/>
    </row>
    <row r="412" spans="1:24" s="59" customFormat="1" ht="37.5" customHeight="1" outlineLevel="1">
      <c r="A412" s="66" t="s">
        <v>533</v>
      </c>
      <c r="B412" s="202"/>
      <c r="C412" s="308" t="s">
        <v>59</v>
      </c>
      <c r="D412" s="311">
        <v>2.3E-2</v>
      </c>
      <c r="E412" s="256" t="s">
        <v>34</v>
      </c>
      <c r="F412" s="296"/>
      <c r="G412" s="296"/>
      <c r="H412" s="296"/>
      <c r="I412" s="249"/>
      <c r="J412" s="249"/>
      <c r="K412" s="249"/>
      <c r="L412" s="249">
        <f>5.4*D412</f>
        <v>0.12</v>
      </c>
      <c r="M412" s="249">
        <f>7.78*D412</f>
        <v>0.18</v>
      </c>
      <c r="N412" s="192">
        <f>59.31*D412</f>
        <v>1.36</v>
      </c>
      <c r="O412" s="123">
        <f t="shared" si="368"/>
        <v>1.66</v>
      </c>
      <c r="P412" s="188"/>
      <c r="Q412" s="106"/>
      <c r="R412" s="69"/>
      <c r="S412" s="70"/>
      <c r="T412" s="71"/>
      <c r="U412" s="69"/>
      <c r="V412" s="200"/>
      <c r="X412" s="60"/>
    </row>
    <row r="413" spans="1:24" s="59" customFormat="1" ht="48.75" customHeight="1" outlineLevel="1">
      <c r="A413" s="66" t="s">
        <v>19</v>
      </c>
      <c r="B413" s="202"/>
      <c r="C413" s="231" t="s">
        <v>589</v>
      </c>
      <c r="D413" s="312"/>
      <c r="E413" s="267" t="s">
        <v>4</v>
      </c>
      <c r="F413" s="262"/>
      <c r="G413" s="262"/>
      <c r="H413" s="262"/>
      <c r="I413" s="251"/>
      <c r="J413" s="251"/>
      <c r="K413" s="251"/>
      <c r="L413" s="251">
        <f>L414+L415</f>
        <v>57</v>
      </c>
      <c r="M413" s="251">
        <f>M414+M415</f>
        <v>48.51</v>
      </c>
      <c r="N413" s="251"/>
      <c r="O413" s="190">
        <f t="shared" si="353"/>
        <v>105.51</v>
      </c>
      <c r="P413" s="182">
        <f>(SUMPRODUCT(O414:O417,P414:P417)/O413)</f>
        <v>0</v>
      </c>
      <c r="Q413" s="183"/>
      <c r="R413" s="184">
        <f t="shared" ref="R413" si="373">P413+Q413</f>
        <v>0</v>
      </c>
      <c r="S413" s="182">
        <f t="shared" ref="S413" si="374">O413*P413</f>
        <v>0</v>
      </c>
      <c r="T413" s="185">
        <f t="shared" ref="T413" si="375">O413*Q413</f>
        <v>0</v>
      </c>
      <c r="U413" s="184">
        <f t="shared" ref="U413" si="376">S413+T413</f>
        <v>0</v>
      </c>
      <c r="V413" s="200"/>
      <c r="X413" s="60"/>
    </row>
    <row r="414" spans="1:24" s="59" customFormat="1" ht="37.5" customHeight="1" outlineLevel="1">
      <c r="A414" s="66" t="s">
        <v>69</v>
      </c>
      <c r="B414" s="202"/>
      <c r="C414" s="413" t="s">
        <v>18</v>
      </c>
      <c r="D414" s="310"/>
      <c r="E414" s="256" t="s">
        <v>4</v>
      </c>
      <c r="F414" s="296"/>
      <c r="G414" s="296"/>
      <c r="H414" s="296"/>
      <c r="I414" s="249"/>
      <c r="J414" s="249"/>
      <c r="K414" s="249"/>
      <c r="L414" s="249">
        <v>57</v>
      </c>
      <c r="M414" s="249">
        <v>48.24</v>
      </c>
      <c r="N414" s="192"/>
      <c r="O414" s="123">
        <f t="shared" si="353"/>
        <v>105.24</v>
      </c>
      <c r="P414" s="188"/>
      <c r="Q414" s="189"/>
      <c r="R414" s="184"/>
      <c r="S414" s="182"/>
      <c r="T414" s="185"/>
      <c r="U414" s="184"/>
      <c r="V414" s="200"/>
      <c r="X414" s="60"/>
    </row>
    <row r="415" spans="1:24" s="59" customFormat="1" ht="37.5" customHeight="1" outlineLevel="1">
      <c r="A415" s="66" t="s">
        <v>534</v>
      </c>
      <c r="B415" s="202"/>
      <c r="C415" s="413" t="s">
        <v>129</v>
      </c>
      <c r="D415" s="310"/>
      <c r="E415" s="256" t="s">
        <v>4</v>
      </c>
      <c r="F415" s="296"/>
      <c r="G415" s="296"/>
      <c r="H415" s="296"/>
      <c r="I415" s="249"/>
      <c r="J415" s="249"/>
      <c r="K415" s="249"/>
      <c r="L415" s="249"/>
      <c r="M415" s="249">
        <v>0.27</v>
      </c>
      <c r="N415" s="192"/>
      <c r="O415" s="123">
        <f t="shared" si="353"/>
        <v>0.27</v>
      </c>
      <c r="P415" s="188"/>
      <c r="Q415" s="189"/>
      <c r="R415" s="184"/>
      <c r="S415" s="182"/>
      <c r="T415" s="185"/>
      <c r="U415" s="184"/>
      <c r="V415" s="200"/>
      <c r="X415" s="60"/>
    </row>
    <row r="416" spans="1:24" s="59" customFormat="1" ht="37.5" customHeight="1" outlineLevel="1">
      <c r="A416" s="66" t="s">
        <v>535</v>
      </c>
      <c r="B416" s="202"/>
      <c r="C416" s="307" t="s">
        <v>90</v>
      </c>
      <c r="D416" s="266">
        <v>50.4</v>
      </c>
      <c r="E416" s="256" t="s">
        <v>30</v>
      </c>
      <c r="F416" s="296"/>
      <c r="G416" s="296"/>
      <c r="H416" s="296"/>
      <c r="I416" s="249"/>
      <c r="J416" s="249"/>
      <c r="K416" s="249"/>
      <c r="L416" s="402">
        <f>57.86*D416</f>
        <v>2916</v>
      </c>
      <c r="M416" s="402">
        <f>48.58*D416</f>
        <v>2448</v>
      </c>
      <c r="N416" s="403"/>
      <c r="O416" s="123">
        <f t="shared" si="353"/>
        <v>5364</v>
      </c>
      <c r="P416" s="188"/>
      <c r="Q416" s="106"/>
      <c r="R416" s="69"/>
      <c r="S416" s="70"/>
      <c r="T416" s="71"/>
      <c r="U416" s="69"/>
      <c r="V416" s="200"/>
      <c r="X416" s="60"/>
    </row>
    <row r="417" spans="1:24" s="59" customFormat="1" ht="37.5" customHeight="1" outlineLevel="1">
      <c r="A417" s="66" t="s">
        <v>536</v>
      </c>
      <c r="B417" s="202"/>
      <c r="C417" s="308" t="s">
        <v>59</v>
      </c>
      <c r="D417" s="311">
        <v>2.3E-2</v>
      </c>
      <c r="E417" s="256" t="s">
        <v>34</v>
      </c>
      <c r="F417" s="296"/>
      <c r="G417" s="296"/>
      <c r="H417" s="296"/>
      <c r="I417" s="249"/>
      <c r="J417" s="249"/>
      <c r="K417" s="249"/>
      <c r="L417" s="249">
        <f>57.86*D417</f>
        <v>1.33</v>
      </c>
      <c r="M417" s="249">
        <f>48.58*D417</f>
        <v>1.1200000000000001</v>
      </c>
      <c r="N417" s="192"/>
      <c r="O417" s="123">
        <f t="shared" si="353"/>
        <v>2.4500000000000002</v>
      </c>
      <c r="P417" s="188"/>
      <c r="Q417" s="106"/>
      <c r="R417" s="69"/>
      <c r="S417" s="70"/>
      <c r="T417" s="71"/>
      <c r="U417" s="69"/>
      <c r="V417" s="200"/>
      <c r="X417" s="60"/>
    </row>
    <row r="418" spans="1:24" s="59" customFormat="1" ht="37.5" customHeight="1" outlineLevel="1">
      <c r="A418" s="66" t="s">
        <v>28</v>
      </c>
      <c r="B418" s="202"/>
      <c r="C418" s="231" t="s">
        <v>590</v>
      </c>
      <c r="D418" s="312"/>
      <c r="E418" s="267" t="s">
        <v>4</v>
      </c>
      <c r="F418" s="262"/>
      <c r="G418" s="262"/>
      <c r="H418" s="262"/>
      <c r="I418" s="251"/>
      <c r="J418" s="251"/>
      <c r="K418" s="251"/>
      <c r="L418" s="251"/>
      <c r="M418" s="251"/>
      <c r="N418" s="193">
        <f>N419</f>
        <v>20.48</v>
      </c>
      <c r="O418" s="190">
        <f t="shared" ref="O418:O421" si="377">SUM(L418:N418)</f>
        <v>20.48</v>
      </c>
      <c r="P418" s="182">
        <f>(SUMPRODUCT(O419:O421,P419:P421)/O418)</f>
        <v>0</v>
      </c>
      <c r="Q418" s="183"/>
      <c r="R418" s="184">
        <f t="shared" ref="R418" si="378">P418+Q418</f>
        <v>0</v>
      </c>
      <c r="S418" s="182">
        <f t="shared" ref="S418" si="379">O418*P418</f>
        <v>0</v>
      </c>
      <c r="T418" s="185">
        <f t="shared" ref="T418" si="380">O418*Q418</f>
        <v>0</v>
      </c>
      <c r="U418" s="184">
        <f t="shared" ref="U418" si="381">S418+T418</f>
        <v>0</v>
      </c>
      <c r="V418" s="415" t="s">
        <v>556</v>
      </c>
      <c r="X418" s="60"/>
    </row>
    <row r="419" spans="1:24" s="59" customFormat="1" ht="37.5" customHeight="1" outlineLevel="1">
      <c r="A419" s="66" t="s">
        <v>39</v>
      </c>
      <c r="B419" s="202"/>
      <c r="C419" s="307" t="s">
        <v>16</v>
      </c>
      <c r="D419" s="310"/>
      <c r="E419" s="256" t="s">
        <v>4</v>
      </c>
      <c r="F419" s="296"/>
      <c r="G419" s="296"/>
      <c r="H419" s="296"/>
      <c r="I419" s="249"/>
      <c r="J419" s="249"/>
      <c r="K419" s="249"/>
      <c r="L419" s="249"/>
      <c r="M419" s="249"/>
      <c r="N419" s="192">
        <v>20.48</v>
      </c>
      <c r="O419" s="123">
        <f t="shared" si="377"/>
        <v>20.48</v>
      </c>
      <c r="P419" s="188"/>
      <c r="Q419" s="189"/>
      <c r="R419" s="184"/>
      <c r="S419" s="182"/>
      <c r="T419" s="185"/>
      <c r="U419" s="184"/>
      <c r="V419" s="200"/>
      <c r="X419" s="60"/>
    </row>
    <row r="420" spans="1:24" s="59" customFormat="1" ht="37.5" customHeight="1" outlineLevel="1">
      <c r="A420" s="66" t="s">
        <v>70</v>
      </c>
      <c r="B420" s="202"/>
      <c r="C420" s="307" t="s">
        <v>90</v>
      </c>
      <c r="D420" s="266">
        <v>50.4</v>
      </c>
      <c r="E420" s="256" t="s">
        <v>30</v>
      </c>
      <c r="F420" s="296"/>
      <c r="G420" s="296"/>
      <c r="H420" s="296"/>
      <c r="I420" s="249"/>
      <c r="J420" s="249"/>
      <c r="K420" s="249"/>
      <c r="L420" s="402"/>
      <c r="M420" s="402"/>
      <c r="N420" s="403">
        <f>20.48*D420</f>
        <v>1032</v>
      </c>
      <c r="O420" s="123">
        <f t="shared" si="377"/>
        <v>1032</v>
      </c>
      <c r="P420" s="188"/>
      <c r="Q420" s="189"/>
      <c r="R420" s="184"/>
      <c r="S420" s="182"/>
      <c r="T420" s="185"/>
      <c r="U420" s="184"/>
      <c r="V420" s="200"/>
      <c r="X420" s="60"/>
    </row>
    <row r="421" spans="1:24" s="59" customFormat="1" ht="37.5" customHeight="1" outlineLevel="1">
      <c r="A421" s="66" t="s">
        <v>71</v>
      </c>
      <c r="B421" s="202"/>
      <c r="C421" s="308" t="s">
        <v>59</v>
      </c>
      <c r="D421" s="311">
        <v>2.3E-2</v>
      </c>
      <c r="E421" s="256" t="s">
        <v>34</v>
      </c>
      <c r="F421" s="296"/>
      <c r="G421" s="296"/>
      <c r="H421" s="296"/>
      <c r="I421" s="249"/>
      <c r="J421" s="249"/>
      <c r="K421" s="249"/>
      <c r="L421" s="249"/>
      <c r="M421" s="249"/>
      <c r="N421" s="192">
        <f>20.48*D421</f>
        <v>0.47</v>
      </c>
      <c r="O421" s="123">
        <f t="shared" si="377"/>
        <v>0.47</v>
      </c>
      <c r="P421" s="188"/>
      <c r="Q421" s="106"/>
      <c r="R421" s="69"/>
      <c r="S421" s="70"/>
      <c r="T421" s="71"/>
      <c r="U421" s="69"/>
      <c r="V421" s="200"/>
      <c r="X421" s="60"/>
    </row>
    <row r="422" spans="1:24" s="59" customFormat="1" ht="37.5" customHeight="1" outlineLevel="1">
      <c r="A422" s="66" t="s">
        <v>40</v>
      </c>
      <c r="B422" s="202"/>
      <c r="C422" s="231" t="s">
        <v>591</v>
      </c>
      <c r="D422" s="312"/>
      <c r="E422" s="267" t="s">
        <v>4</v>
      </c>
      <c r="F422" s="262"/>
      <c r="G422" s="262"/>
      <c r="H422" s="262"/>
      <c r="I422" s="251"/>
      <c r="J422" s="251"/>
      <c r="K422" s="251"/>
      <c r="L422" s="251">
        <v>23.06</v>
      </c>
      <c r="M422" s="251">
        <v>11.52</v>
      </c>
      <c r="N422" s="193"/>
      <c r="O422" s="190">
        <f t="shared" si="353"/>
        <v>34.58</v>
      </c>
      <c r="P422" s="182">
        <f>(SUMPRODUCT(O423:O426,P423:P426)/O422)</f>
        <v>0</v>
      </c>
      <c r="Q422" s="183"/>
      <c r="R422" s="184">
        <f t="shared" ref="R422" si="382">P422+Q422</f>
        <v>0</v>
      </c>
      <c r="S422" s="182">
        <f t="shared" ref="S422" si="383">O422*P422</f>
        <v>0</v>
      </c>
      <c r="T422" s="185">
        <f t="shared" ref="T422" si="384">O422*Q422</f>
        <v>0</v>
      </c>
      <c r="U422" s="184">
        <f t="shared" ref="U422" si="385">S422+T422</f>
        <v>0</v>
      </c>
      <c r="V422" s="415" t="s">
        <v>505</v>
      </c>
      <c r="X422" s="60"/>
    </row>
    <row r="423" spans="1:24" s="59" customFormat="1" ht="34.5" customHeight="1" outlineLevel="1">
      <c r="A423" s="66" t="s">
        <v>41</v>
      </c>
      <c r="B423" s="202"/>
      <c r="C423" s="413" t="s">
        <v>18</v>
      </c>
      <c r="D423" s="310"/>
      <c r="E423" s="256" t="s">
        <v>4</v>
      </c>
      <c r="F423" s="296"/>
      <c r="G423" s="296"/>
      <c r="H423" s="296"/>
      <c r="I423" s="249"/>
      <c r="J423" s="249"/>
      <c r="K423" s="249"/>
      <c r="L423" s="249">
        <v>23.06</v>
      </c>
      <c r="M423" s="249">
        <v>11.52</v>
      </c>
      <c r="N423" s="192"/>
      <c r="O423" s="123">
        <f t="shared" si="353"/>
        <v>34.58</v>
      </c>
      <c r="P423" s="188"/>
      <c r="Q423" s="189"/>
      <c r="R423" s="184"/>
      <c r="S423" s="182"/>
      <c r="T423" s="185"/>
      <c r="U423" s="184"/>
      <c r="V423" s="200"/>
      <c r="X423" s="60"/>
    </row>
    <row r="424" spans="1:24" s="59" customFormat="1" ht="34.5" customHeight="1" outlineLevel="1">
      <c r="A424" s="66" t="s">
        <v>42</v>
      </c>
      <c r="B424" s="205"/>
      <c r="C424" s="413" t="s">
        <v>129</v>
      </c>
      <c r="D424" s="310"/>
      <c r="E424" s="256" t="s">
        <v>4</v>
      </c>
      <c r="F424" s="296"/>
      <c r="G424" s="296"/>
      <c r="H424" s="296"/>
      <c r="I424" s="249"/>
      <c r="J424" s="249"/>
      <c r="K424" s="249"/>
      <c r="L424" s="249">
        <v>23.06</v>
      </c>
      <c r="M424" s="249">
        <v>11.52</v>
      </c>
      <c r="N424" s="192"/>
      <c r="O424" s="123">
        <f t="shared" si="353"/>
        <v>34.58</v>
      </c>
      <c r="P424" s="188"/>
      <c r="Q424" s="189"/>
      <c r="R424" s="184"/>
      <c r="S424" s="182"/>
      <c r="T424" s="185"/>
      <c r="U424" s="184"/>
      <c r="V424" s="200"/>
      <c r="X424" s="60"/>
    </row>
    <row r="425" spans="1:24" s="59" customFormat="1" ht="34.5" customHeight="1" outlineLevel="1">
      <c r="A425" s="66" t="s">
        <v>43</v>
      </c>
      <c r="B425" s="202"/>
      <c r="C425" s="307" t="s">
        <v>90</v>
      </c>
      <c r="D425" s="266">
        <v>50.4</v>
      </c>
      <c r="E425" s="256" t="s">
        <v>30</v>
      </c>
      <c r="F425" s="296"/>
      <c r="G425" s="296"/>
      <c r="H425" s="296"/>
      <c r="I425" s="249"/>
      <c r="J425" s="249"/>
      <c r="K425" s="249"/>
      <c r="L425" s="402">
        <f>23.06*D425</f>
        <v>1162</v>
      </c>
      <c r="M425" s="402">
        <f>11.52*D425</f>
        <v>581</v>
      </c>
      <c r="N425" s="403"/>
      <c r="O425" s="123">
        <f t="shared" si="353"/>
        <v>1743</v>
      </c>
      <c r="P425" s="188"/>
      <c r="Q425" s="189"/>
      <c r="R425" s="184"/>
      <c r="S425" s="182"/>
      <c r="T425" s="185"/>
      <c r="U425" s="184"/>
      <c r="V425" s="200"/>
      <c r="X425" s="60"/>
    </row>
    <row r="426" spans="1:24" s="59" customFormat="1" ht="34.5" customHeight="1" outlineLevel="1">
      <c r="A426" s="66" t="s">
        <v>56</v>
      </c>
      <c r="B426" s="202"/>
      <c r="C426" s="308" t="s">
        <v>59</v>
      </c>
      <c r="D426" s="311">
        <v>2.3E-2</v>
      </c>
      <c r="E426" s="256" t="s">
        <v>34</v>
      </c>
      <c r="F426" s="296"/>
      <c r="G426" s="296"/>
      <c r="H426" s="296"/>
      <c r="I426" s="249"/>
      <c r="J426" s="249"/>
      <c r="K426" s="249"/>
      <c r="L426" s="249">
        <f>23.06*D426</f>
        <v>0.53</v>
      </c>
      <c r="M426" s="249">
        <f>11.52*D426</f>
        <v>0.26</v>
      </c>
      <c r="N426" s="192"/>
      <c r="O426" s="123">
        <f t="shared" si="353"/>
        <v>0.79</v>
      </c>
      <c r="P426" s="188"/>
      <c r="Q426" s="106"/>
      <c r="R426" s="69"/>
      <c r="S426" s="70"/>
      <c r="T426" s="71"/>
      <c r="U426" s="69"/>
      <c r="V426" s="200"/>
      <c r="X426" s="60"/>
    </row>
    <row r="427" spans="1:24" s="59" customFormat="1" ht="37.5" customHeight="1" outlineLevel="1">
      <c r="A427" s="66" t="s">
        <v>29</v>
      </c>
      <c r="B427" s="202"/>
      <c r="C427" s="231" t="s">
        <v>337</v>
      </c>
      <c r="D427" s="335"/>
      <c r="E427" s="267" t="s">
        <v>4</v>
      </c>
      <c r="F427" s="262"/>
      <c r="G427" s="262"/>
      <c r="H427" s="262"/>
      <c r="I427" s="251"/>
      <c r="J427" s="251"/>
      <c r="K427" s="251"/>
      <c r="L427" s="251">
        <f>L428</f>
        <v>78.760000000000005</v>
      </c>
      <c r="M427" s="251">
        <v>60.63</v>
      </c>
      <c r="N427" s="193">
        <v>69.900000000000006</v>
      </c>
      <c r="O427" s="190">
        <f t="shared" si="353"/>
        <v>209.29</v>
      </c>
      <c r="P427" s="182">
        <f>P428*O428/O427</f>
        <v>0</v>
      </c>
      <c r="Q427" s="183"/>
      <c r="R427" s="184">
        <f t="shared" ref="R427" si="386">P427+Q427</f>
        <v>0</v>
      </c>
      <c r="S427" s="182">
        <f>O427*P427</f>
        <v>0</v>
      </c>
      <c r="T427" s="185">
        <f>O427*Q427</f>
        <v>0</v>
      </c>
      <c r="U427" s="184">
        <f>S427+T427</f>
        <v>0</v>
      </c>
      <c r="V427" s="200"/>
      <c r="X427" s="60"/>
    </row>
    <row r="428" spans="1:24" s="59" customFormat="1" ht="37.5" customHeight="1" outlineLevel="1">
      <c r="A428" s="66" t="s">
        <v>44</v>
      </c>
      <c r="B428" s="235">
        <v>4100017642</v>
      </c>
      <c r="C428" s="157" t="s">
        <v>108</v>
      </c>
      <c r="D428" s="314"/>
      <c r="E428" s="256" t="s">
        <v>4</v>
      </c>
      <c r="F428" s="262"/>
      <c r="G428" s="262"/>
      <c r="H428" s="262"/>
      <c r="I428" s="185"/>
      <c r="J428" s="185"/>
      <c r="K428" s="185"/>
      <c r="L428" s="249">
        <v>78.760000000000005</v>
      </c>
      <c r="M428" s="249">
        <v>60.75</v>
      </c>
      <c r="N428" s="192">
        <v>69.98</v>
      </c>
      <c r="O428" s="123">
        <f t="shared" si="353"/>
        <v>209.49</v>
      </c>
      <c r="P428" s="186"/>
      <c r="Q428" s="187"/>
      <c r="R428" s="184"/>
      <c r="S428" s="182"/>
      <c r="T428" s="185"/>
      <c r="U428" s="184"/>
      <c r="V428" s="397" t="s">
        <v>405</v>
      </c>
      <c r="X428" s="60"/>
    </row>
    <row r="429" spans="1:24" s="59" customFormat="1" ht="48.75" customHeight="1" outlineLevel="1">
      <c r="A429" s="66" t="s">
        <v>20</v>
      </c>
      <c r="B429" s="202"/>
      <c r="C429" s="90" t="s">
        <v>143</v>
      </c>
      <c r="D429" s="315"/>
      <c r="E429" s="268" t="s">
        <v>4</v>
      </c>
      <c r="F429" s="262"/>
      <c r="G429" s="262"/>
      <c r="H429" s="262"/>
      <c r="I429" s="185"/>
      <c r="J429" s="185"/>
      <c r="K429" s="185"/>
      <c r="L429" s="251">
        <v>84.45</v>
      </c>
      <c r="M429" s="251">
        <v>66.48</v>
      </c>
      <c r="N429" s="251">
        <v>90.14</v>
      </c>
      <c r="O429" s="99">
        <f t="shared" si="353"/>
        <v>241.07</v>
      </c>
      <c r="P429" s="182">
        <f>(SUMPRODUCT(O430:O432,P430:P432)/O429)</f>
        <v>0</v>
      </c>
      <c r="Q429" s="183"/>
      <c r="R429" s="184">
        <f t="shared" ref="R429" si="387">P429+Q429</f>
        <v>0</v>
      </c>
      <c r="S429" s="182">
        <f t="shared" ref="S429" si="388">O429*P429</f>
        <v>0</v>
      </c>
      <c r="T429" s="185">
        <f t="shared" ref="T429" si="389">O429*Q429</f>
        <v>0</v>
      </c>
      <c r="U429" s="184">
        <f t="shared" ref="U429" si="390">S429+T429</f>
        <v>0</v>
      </c>
      <c r="V429" s="200"/>
      <c r="X429" s="60"/>
    </row>
    <row r="430" spans="1:24" s="59" customFormat="1" ht="37.5" customHeight="1" outlineLevel="1">
      <c r="A430" s="66" t="s">
        <v>46</v>
      </c>
      <c r="B430" s="204">
        <v>4100027470</v>
      </c>
      <c r="C430" s="194" t="s">
        <v>111</v>
      </c>
      <c r="D430" s="19">
        <v>50.4</v>
      </c>
      <c r="E430" s="263" t="s">
        <v>30</v>
      </c>
      <c r="F430" s="296"/>
      <c r="G430" s="296"/>
      <c r="H430" s="296"/>
      <c r="I430" s="249"/>
      <c r="J430" s="249"/>
      <c r="K430" s="249"/>
      <c r="L430" s="402">
        <f>84.45*D430</f>
        <v>4256</v>
      </c>
      <c r="M430" s="402">
        <f>66.48*D430</f>
        <v>3351</v>
      </c>
      <c r="N430" s="192"/>
      <c r="O430" s="123">
        <f t="shared" si="353"/>
        <v>7607</v>
      </c>
      <c r="P430" s="188"/>
      <c r="Q430" s="189"/>
      <c r="R430" s="184"/>
      <c r="S430" s="182"/>
      <c r="T430" s="185"/>
      <c r="U430" s="184"/>
      <c r="V430" s="200"/>
      <c r="X430" s="60"/>
    </row>
    <row r="431" spans="1:24" s="59" customFormat="1" ht="37.5" customHeight="1" outlineLevel="1">
      <c r="A431" s="66" t="s">
        <v>47</v>
      </c>
      <c r="B431" s="204">
        <v>4100025575</v>
      </c>
      <c r="C431" s="194" t="s">
        <v>112</v>
      </c>
      <c r="D431" s="263">
        <v>50.4</v>
      </c>
      <c r="E431" s="263" t="s">
        <v>30</v>
      </c>
      <c r="F431" s="296"/>
      <c r="G431" s="296"/>
      <c r="H431" s="296"/>
      <c r="I431" s="249"/>
      <c r="J431" s="249"/>
      <c r="K431" s="249"/>
      <c r="L431" s="249"/>
      <c r="M431" s="249"/>
      <c r="N431" s="403">
        <f>90.14*D431</f>
        <v>4543</v>
      </c>
      <c r="O431" s="123">
        <f t="shared" si="353"/>
        <v>4543</v>
      </c>
      <c r="P431" s="188"/>
      <c r="Q431" s="189"/>
      <c r="R431" s="184"/>
      <c r="S431" s="182"/>
      <c r="T431" s="185"/>
      <c r="U431" s="184"/>
      <c r="V431" s="200"/>
      <c r="X431" s="60"/>
    </row>
    <row r="432" spans="1:24" s="59" customFormat="1" ht="37.5" customHeight="1" outlineLevel="1">
      <c r="A432" s="66" t="s">
        <v>75</v>
      </c>
      <c r="B432" s="202"/>
      <c r="C432" s="308" t="s">
        <v>32</v>
      </c>
      <c r="D432" s="249">
        <v>51</v>
      </c>
      <c r="E432" s="256" t="s">
        <v>31</v>
      </c>
      <c r="F432" s="296"/>
      <c r="G432" s="296"/>
      <c r="H432" s="296"/>
      <c r="I432" s="249"/>
      <c r="J432" s="249"/>
      <c r="K432" s="249"/>
      <c r="L432" s="249">
        <f>D432*L429</f>
        <v>4306.95</v>
      </c>
      <c r="M432" s="249">
        <f>D432*M429</f>
        <v>3390.48</v>
      </c>
      <c r="N432" s="192">
        <f>D432*N429</f>
        <v>4597.1400000000003</v>
      </c>
      <c r="O432" s="123">
        <f t="shared" si="353"/>
        <v>12294.57</v>
      </c>
      <c r="P432" s="188"/>
      <c r="Q432" s="106"/>
      <c r="R432" s="69"/>
      <c r="S432" s="70"/>
      <c r="T432" s="71"/>
      <c r="U432" s="69"/>
      <c r="V432" s="200"/>
      <c r="X432" s="60"/>
    </row>
    <row r="433" spans="1:24" s="59" customFormat="1" ht="48.75" customHeight="1" outlineLevel="1">
      <c r="A433" s="66" t="s">
        <v>21</v>
      </c>
      <c r="B433" s="202"/>
      <c r="C433" s="90" t="s">
        <v>132</v>
      </c>
      <c r="D433" s="315"/>
      <c r="E433" s="268" t="s">
        <v>4</v>
      </c>
      <c r="F433" s="262"/>
      <c r="G433" s="262"/>
      <c r="H433" s="262"/>
      <c r="I433" s="251"/>
      <c r="J433" s="185"/>
      <c r="K433" s="185"/>
      <c r="L433" s="251">
        <f>L434</f>
        <v>693.98</v>
      </c>
      <c r="M433" s="251">
        <f>M434</f>
        <v>364.93</v>
      </c>
      <c r="N433" s="193">
        <f>N434</f>
        <v>582.78</v>
      </c>
      <c r="O433" s="190">
        <f t="shared" si="353"/>
        <v>1641.69</v>
      </c>
      <c r="P433" s="182">
        <f>(SUMPRODUCT(O434:O438,P434:P438)/O433)</f>
        <v>0</v>
      </c>
      <c r="Q433" s="183"/>
      <c r="R433" s="184">
        <f t="shared" ref="R433" si="391">P433+Q433</f>
        <v>0</v>
      </c>
      <c r="S433" s="182">
        <f t="shared" ref="S433" si="392">O433*P433</f>
        <v>0</v>
      </c>
      <c r="T433" s="185">
        <f t="shared" ref="T433" si="393">O433*Q433</f>
        <v>0</v>
      </c>
      <c r="U433" s="184">
        <f t="shared" ref="U433" si="394">S433+T433</f>
        <v>0</v>
      </c>
      <c r="V433" s="200"/>
      <c r="X433" s="60"/>
    </row>
    <row r="434" spans="1:24" s="59" customFormat="1" ht="33.75" customHeight="1" outlineLevel="1">
      <c r="A434" s="66" t="s">
        <v>48</v>
      </c>
      <c r="B434" s="202"/>
      <c r="C434" s="309" t="s">
        <v>18</v>
      </c>
      <c r="D434" s="265"/>
      <c r="E434" s="265" t="s">
        <v>4</v>
      </c>
      <c r="F434" s="296"/>
      <c r="G434" s="296"/>
      <c r="H434" s="296"/>
      <c r="I434" s="249"/>
      <c r="J434" s="249"/>
      <c r="K434" s="249"/>
      <c r="L434" s="249">
        <f>584.42+25.26+84.3</f>
        <v>693.98</v>
      </c>
      <c r="M434" s="249">
        <f>333.11+31.82</f>
        <v>364.93</v>
      </c>
      <c r="N434" s="192">
        <f>492.26+90.52</f>
        <v>582.78</v>
      </c>
      <c r="O434" s="123">
        <f t="shared" si="353"/>
        <v>1641.69</v>
      </c>
      <c r="P434" s="188"/>
      <c r="Q434" s="189"/>
      <c r="R434" s="184"/>
      <c r="S434" s="182"/>
      <c r="T434" s="185"/>
      <c r="U434" s="184"/>
      <c r="V434" s="200"/>
      <c r="X434" s="60"/>
    </row>
    <row r="435" spans="1:24" s="59" customFormat="1" ht="37.5" customHeight="1" outlineLevel="1">
      <c r="A435" s="66" t="s">
        <v>49</v>
      </c>
      <c r="B435" s="204">
        <v>4100027470</v>
      </c>
      <c r="C435" s="194" t="s">
        <v>111</v>
      </c>
      <c r="D435" s="19">
        <v>50.4</v>
      </c>
      <c r="E435" s="263" t="s">
        <v>30</v>
      </c>
      <c r="F435" s="296"/>
      <c r="G435" s="296"/>
      <c r="H435" s="296"/>
      <c r="I435" s="249"/>
      <c r="J435" s="249"/>
      <c r="K435" s="249"/>
      <c r="L435" s="402">
        <f>620.09*D435</f>
        <v>31253</v>
      </c>
      <c r="M435" s="402">
        <f>358.29*D435</f>
        <v>18058</v>
      </c>
      <c r="N435" s="192"/>
      <c r="O435" s="123">
        <f t="shared" si="353"/>
        <v>49311</v>
      </c>
      <c r="P435" s="188"/>
      <c r="Q435" s="189"/>
      <c r="R435" s="184"/>
      <c r="S435" s="182"/>
      <c r="T435" s="185"/>
      <c r="U435" s="184"/>
      <c r="V435" s="200"/>
      <c r="X435" s="60"/>
    </row>
    <row r="436" spans="1:24" s="59" customFormat="1" ht="37.5" customHeight="1" outlineLevel="1">
      <c r="A436" s="66" t="s">
        <v>50</v>
      </c>
      <c r="B436" s="204">
        <v>4100025575</v>
      </c>
      <c r="C436" s="194" t="s">
        <v>112</v>
      </c>
      <c r="D436" s="19">
        <v>50.4</v>
      </c>
      <c r="E436" s="263" t="s">
        <v>30</v>
      </c>
      <c r="F436" s="296"/>
      <c r="G436" s="296"/>
      <c r="H436" s="296"/>
      <c r="I436" s="249"/>
      <c r="J436" s="249"/>
      <c r="K436" s="249"/>
      <c r="L436" s="402">
        <f>83.66*D436</f>
        <v>4216</v>
      </c>
      <c r="M436" s="249"/>
      <c r="N436" s="403">
        <f>524.02*D436</f>
        <v>26411</v>
      </c>
      <c r="O436" s="123">
        <f t="shared" si="353"/>
        <v>30627</v>
      </c>
      <c r="P436" s="188"/>
      <c r="Q436" s="106"/>
      <c r="R436" s="69"/>
      <c r="S436" s="70"/>
      <c r="T436" s="71"/>
      <c r="U436" s="69"/>
      <c r="V436" s="200"/>
      <c r="X436" s="60"/>
    </row>
    <row r="437" spans="1:24" s="59" customFormat="1" ht="37.5" customHeight="1" outlineLevel="1">
      <c r="A437" s="66" t="s">
        <v>80</v>
      </c>
      <c r="B437" s="204">
        <v>4100027693</v>
      </c>
      <c r="C437" s="194" t="s">
        <v>113</v>
      </c>
      <c r="D437" s="19">
        <v>50.4</v>
      </c>
      <c r="E437" s="263" t="s">
        <v>30</v>
      </c>
      <c r="F437" s="296"/>
      <c r="G437" s="296"/>
      <c r="H437" s="296"/>
      <c r="I437" s="249"/>
      <c r="J437" s="249"/>
      <c r="K437" s="249"/>
      <c r="L437" s="402">
        <f>21.17*D437</f>
        <v>1067</v>
      </c>
      <c r="M437" s="402">
        <f>31.79*D437</f>
        <v>1602</v>
      </c>
      <c r="N437" s="403">
        <f>89.96*D437</f>
        <v>4534</v>
      </c>
      <c r="O437" s="123">
        <f t="shared" si="353"/>
        <v>7203</v>
      </c>
      <c r="P437" s="188"/>
      <c r="Q437" s="106"/>
      <c r="R437" s="69"/>
      <c r="S437" s="70"/>
      <c r="T437" s="71"/>
      <c r="U437" s="69"/>
      <c r="V437" s="200"/>
      <c r="X437" s="60"/>
    </row>
    <row r="438" spans="1:24" s="59" customFormat="1" ht="37.5" customHeight="1" outlineLevel="1">
      <c r="A438" s="66" t="s">
        <v>537</v>
      </c>
      <c r="B438" s="202"/>
      <c r="C438" s="308" t="s">
        <v>32</v>
      </c>
      <c r="D438" s="249">
        <v>51</v>
      </c>
      <c r="E438" s="256" t="s">
        <v>31</v>
      </c>
      <c r="F438" s="296"/>
      <c r="G438" s="296"/>
      <c r="H438" s="296"/>
      <c r="I438" s="249"/>
      <c r="J438" s="249"/>
      <c r="K438" s="249"/>
      <c r="L438" s="249">
        <f>(641.26+83.66)*D438</f>
        <v>36970.92</v>
      </c>
      <c r="M438" s="249">
        <f>390.08*D438</f>
        <v>19894.080000000002</v>
      </c>
      <c r="N438" s="249">
        <f>613.98*D438</f>
        <v>31312.98</v>
      </c>
      <c r="O438" s="123">
        <f t="shared" si="353"/>
        <v>88177.98</v>
      </c>
      <c r="P438" s="188"/>
      <c r="Q438" s="106"/>
      <c r="R438" s="69"/>
      <c r="S438" s="70"/>
      <c r="T438" s="71"/>
      <c r="U438" s="69"/>
      <c r="V438" s="200"/>
      <c r="X438" s="60"/>
    </row>
    <row r="439" spans="1:24" s="59" customFormat="1" ht="48.75" customHeight="1" outlineLevel="1">
      <c r="A439" s="66" t="s">
        <v>51</v>
      </c>
      <c r="B439" s="202"/>
      <c r="C439" s="90" t="s">
        <v>338</v>
      </c>
      <c r="D439" s="315"/>
      <c r="E439" s="268" t="s">
        <v>4</v>
      </c>
      <c r="F439" s="297"/>
      <c r="G439" s="297"/>
      <c r="H439" s="297"/>
      <c r="I439" s="251"/>
      <c r="J439" s="251"/>
      <c r="K439" s="251"/>
      <c r="L439" s="251">
        <f>L440</f>
        <v>7.08</v>
      </c>
      <c r="M439" s="251">
        <f>M440</f>
        <v>6.63</v>
      </c>
      <c r="N439" s="193"/>
      <c r="O439" s="190">
        <f t="shared" si="353"/>
        <v>13.71</v>
      </c>
      <c r="P439" s="182">
        <f>(SUMPRODUCT(O440:O442,P440:P442)/O439)</f>
        <v>0</v>
      </c>
      <c r="Q439" s="183"/>
      <c r="R439" s="184">
        <f t="shared" ref="R439" si="395">P439+Q439</f>
        <v>0</v>
      </c>
      <c r="S439" s="182">
        <f t="shared" ref="S439" si="396">O439*P439</f>
        <v>0</v>
      </c>
      <c r="T439" s="185">
        <f t="shared" ref="T439" si="397">O439*Q439</f>
        <v>0</v>
      </c>
      <c r="U439" s="184">
        <f t="shared" ref="U439" si="398">S439+T439</f>
        <v>0</v>
      </c>
      <c r="V439" s="200"/>
      <c r="X439" s="60"/>
    </row>
    <row r="440" spans="1:24" s="59" customFormat="1" ht="33.75" customHeight="1" outlineLevel="1">
      <c r="A440" s="66" t="s">
        <v>52</v>
      </c>
      <c r="B440" s="202"/>
      <c r="C440" s="309" t="s">
        <v>17</v>
      </c>
      <c r="D440" s="316"/>
      <c r="E440" s="265" t="s">
        <v>4</v>
      </c>
      <c r="F440" s="296"/>
      <c r="G440" s="296"/>
      <c r="H440" s="296"/>
      <c r="I440" s="249"/>
      <c r="J440" s="249"/>
      <c r="K440" s="249"/>
      <c r="L440" s="249">
        <v>7.08</v>
      </c>
      <c r="M440" s="249">
        <v>6.63</v>
      </c>
      <c r="N440" s="192"/>
      <c r="O440" s="123">
        <f t="shared" si="353"/>
        <v>13.71</v>
      </c>
      <c r="P440" s="188"/>
      <c r="Q440" s="189"/>
      <c r="R440" s="184"/>
      <c r="S440" s="182"/>
      <c r="T440" s="185"/>
      <c r="U440" s="184"/>
      <c r="V440" s="200"/>
      <c r="X440" s="60"/>
    </row>
    <row r="441" spans="1:24" s="59" customFormat="1" ht="37.5" customHeight="1" outlineLevel="1">
      <c r="A441" s="66" t="s">
        <v>53</v>
      </c>
      <c r="B441" s="204">
        <v>4100027470</v>
      </c>
      <c r="C441" s="194" t="s">
        <v>111</v>
      </c>
      <c r="D441" s="19">
        <v>50.4</v>
      </c>
      <c r="E441" s="263" t="s">
        <v>30</v>
      </c>
      <c r="F441" s="296"/>
      <c r="G441" s="296"/>
      <c r="H441" s="296"/>
      <c r="I441" s="249"/>
      <c r="J441" s="249"/>
      <c r="K441" s="249"/>
      <c r="L441" s="402">
        <f>7.08*D441</f>
        <v>357</v>
      </c>
      <c r="M441" s="402">
        <f>6.63*D441</f>
        <v>334</v>
      </c>
      <c r="N441" s="192"/>
      <c r="O441" s="123">
        <f t="shared" si="353"/>
        <v>691</v>
      </c>
      <c r="P441" s="188"/>
      <c r="Q441" s="189"/>
      <c r="R441" s="184"/>
      <c r="S441" s="182"/>
      <c r="T441" s="185"/>
      <c r="U441" s="184"/>
      <c r="V441" s="200"/>
      <c r="X441" s="60"/>
    </row>
    <row r="442" spans="1:24" s="59" customFormat="1" ht="37.5" customHeight="1" outlineLevel="1">
      <c r="A442" s="66" t="s">
        <v>54</v>
      </c>
      <c r="B442" s="202"/>
      <c r="C442" s="308" t="s">
        <v>32</v>
      </c>
      <c r="D442" s="249">
        <v>51</v>
      </c>
      <c r="E442" s="256" t="s">
        <v>31</v>
      </c>
      <c r="F442" s="296"/>
      <c r="G442" s="296"/>
      <c r="H442" s="296"/>
      <c r="I442" s="249"/>
      <c r="J442" s="249"/>
      <c r="K442" s="249"/>
      <c r="L442" s="249">
        <f>7.08*D442</f>
        <v>361.08</v>
      </c>
      <c r="M442" s="249">
        <f>6.63*D442</f>
        <v>338.13</v>
      </c>
      <c r="N442" s="192"/>
      <c r="O442" s="123">
        <f t="shared" si="353"/>
        <v>699.21</v>
      </c>
      <c r="P442" s="188"/>
      <c r="Q442" s="106"/>
      <c r="R442" s="69"/>
      <c r="S442" s="70"/>
      <c r="T442" s="71"/>
      <c r="U442" s="69"/>
      <c r="V442" s="200"/>
      <c r="X442" s="60"/>
    </row>
    <row r="443" spans="1:24" s="59" customFormat="1" ht="48.75" customHeight="1" outlineLevel="1">
      <c r="A443" s="66" t="s">
        <v>22</v>
      </c>
      <c r="B443" s="202"/>
      <c r="C443" s="90" t="s">
        <v>197</v>
      </c>
      <c r="D443" s="315"/>
      <c r="E443" s="268" t="s">
        <v>4</v>
      </c>
      <c r="F443" s="297"/>
      <c r="G443" s="297"/>
      <c r="H443" s="297"/>
      <c r="I443" s="251"/>
      <c r="J443" s="251"/>
      <c r="K443" s="251"/>
      <c r="L443" s="251">
        <f>L444</f>
        <v>187.73</v>
      </c>
      <c r="M443" s="251">
        <f t="shared" ref="M443:N443" si="399">M444</f>
        <v>165.63</v>
      </c>
      <c r="N443" s="251">
        <f t="shared" si="399"/>
        <v>205.37</v>
      </c>
      <c r="O443" s="190">
        <f t="shared" si="353"/>
        <v>558.73</v>
      </c>
      <c r="P443" s="182">
        <f>(SUMPRODUCT(O444:O449,P444:P449)/O443)</f>
        <v>0</v>
      </c>
      <c r="Q443" s="183"/>
      <c r="R443" s="184">
        <f t="shared" ref="R443" si="400">P443+Q443</f>
        <v>0</v>
      </c>
      <c r="S443" s="182">
        <f t="shared" ref="S443" si="401">O443*P443</f>
        <v>0</v>
      </c>
      <c r="T443" s="185">
        <f t="shared" ref="T443" si="402">O443*Q443</f>
        <v>0</v>
      </c>
      <c r="U443" s="184">
        <f t="shared" ref="U443" si="403">S443+T443</f>
        <v>0</v>
      </c>
      <c r="V443" s="200"/>
      <c r="X443" s="60"/>
    </row>
    <row r="444" spans="1:24" s="59" customFormat="1" ht="33.75" customHeight="1" outlineLevel="1">
      <c r="A444" s="66" t="s">
        <v>415</v>
      </c>
      <c r="B444" s="202"/>
      <c r="C444" s="309" t="s">
        <v>18</v>
      </c>
      <c r="D444" s="265"/>
      <c r="E444" s="265" t="s">
        <v>4</v>
      </c>
      <c r="F444" s="296"/>
      <c r="G444" s="296"/>
      <c r="H444" s="296"/>
      <c r="I444" s="249"/>
      <c r="J444" s="249"/>
      <c r="K444" s="249"/>
      <c r="L444" s="249">
        <v>187.73</v>
      </c>
      <c r="M444" s="249">
        <v>165.63</v>
      </c>
      <c r="N444" s="192">
        <v>205.37</v>
      </c>
      <c r="O444" s="123">
        <f t="shared" si="353"/>
        <v>558.73</v>
      </c>
      <c r="P444" s="188"/>
      <c r="Q444" s="189"/>
      <c r="R444" s="184"/>
      <c r="S444" s="182"/>
      <c r="T444" s="185"/>
      <c r="U444" s="184"/>
      <c r="V444" s="200"/>
      <c r="X444" s="60"/>
    </row>
    <row r="445" spans="1:24" s="59" customFormat="1" ht="33.75" customHeight="1" outlineLevel="1">
      <c r="A445" s="66" t="s">
        <v>416</v>
      </c>
      <c r="B445" s="202"/>
      <c r="C445" s="309" t="s">
        <v>17</v>
      </c>
      <c r="D445" s="316"/>
      <c r="E445" s="265" t="s">
        <v>4</v>
      </c>
      <c r="F445" s="296"/>
      <c r="G445" s="296"/>
      <c r="H445" s="296"/>
      <c r="I445" s="249"/>
      <c r="J445" s="249"/>
      <c r="K445" s="249"/>
      <c r="L445" s="249">
        <v>185.97</v>
      </c>
      <c r="M445" s="249">
        <v>164.79</v>
      </c>
      <c r="N445" s="192">
        <v>229.63</v>
      </c>
      <c r="O445" s="123">
        <f t="shared" si="353"/>
        <v>580.39</v>
      </c>
      <c r="P445" s="188"/>
      <c r="Q445" s="189"/>
      <c r="R445" s="184"/>
      <c r="S445" s="182"/>
      <c r="T445" s="185"/>
      <c r="U445" s="184"/>
      <c r="V445" s="200"/>
      <c r="X445" s="60"/>
    </row>
    <row r="446" spans="1:24" s="59" customFormat="1" ht="37.5" customHeight="1" outlineLevel="1">
      <c r="A446" s="66" t="s">
        <v>417</v>
      </c>
      <c r="B446" s="204">
        <v>4100027470</v>
      </c>
      <c r="C446" s="194" t="s">
        <v>111</v>
      </c>
      <c r="D446" s="19">
        <v>50.4</v>
      </c>
      <c r="E446" s="263" t="s">
        <v>30</v>
      </c>
      <c r="F446" s="296"/>
      <c r="G446" s="296"/>
      <c r="H446" s="296"/>
      <c r="I446" s="249"/>
      <c r="J446" s="249"/>
      <c r="K446" s="249"/>
      <c r="L446" s="402">
        <f>185.97*D446</f>
        <v>9373</v>
      </c>
      <c r="M446" s="402">
        <f>164.79*D446</f>
        <v>8305</v>
      </c>
      <c r="N446" s="192"/>
      <c r="O446" s="123">
        <f t="shared" si="353"/>
        <v>17678</v>
      </c>
      <c r="P446" s="188"/>
      <c r="Q446" s="106"/>
      <c r="R446" s="69"/>
      <c r="S446" s="70"/>
      <c r="T446" s="71"/>
      <c r="U446" s="69"/>
      <c r="V446" s="200"/>
      <c r="X446" s="60"/>
    </row>
    <row r="447" spans="1:24" s="59" customFormat="1" ht="37.5" customHeight="1" outlineLevel="1">
      <c r="A447" s="66" t="s">
        <v>538</v>
      </c>
      <c r="B447" s="204">
        <v>4100025575</v>
      </c>
      <c r="C447" s="194" t="s">
        <v>117</v>
      </c>
      <c r="D447" s="329">
        <v>54</v>
      </c>
      <c r="E447" s="263" t="s">
        <v>30</v>
      </c>
      <c r="F447" s="296"/>
      <c r="G447" s="296"/>
      <c r="H447" s="296"/>
      <c r="I447" s="249"/>
      <c r="J447" s="249"/>
      <c r="K447" s="249"/>
      <c r="L447" s="249"/>
      <c r="M447" s="249"/>
      <c r="N447" s="403">
        <f>229.63*D447</f>
        <v>12400</v>
      </c>
      <c r="O447" s="123">
        <f t="shared" si="353"/>
        <v>12400</v>
      </c>
      <c r="P447" s="188"/>
      <c r="Q447" s="106"/>
      <c r="R447" s="69"/>
      <c r="S447" s="70"/>
      <c r="T447" s="71"/>
      <c r="U447" s="69"/>
      <c r="V447" s="200"/>
      <c r="X447" s="60"/>
    </row>
    <row r="448" spans="1:24" s="59" customFormat="1" ht="37.5" customHeight="1" outlineLevel="1">
      <c r="A448" s="66" t="s">
        <v>539</v>
      </c>
      <c r="B448" s="202"/>
      <c r="C448" s="308" t="s">
        <v>32</v>
      </c>
      <c r="D448" s="249">
        <v>51</v>
      </c>
      <c r="E448" s="256" t="s">
        <v>31</v>
      </c>
      <c r="F448" s="296"/>
      <c r="G448" s="296"/>
      <c r="H448" s="296"/>
      <c r="I448" s="249"/>
      <c r="J448" s="249"/>
      <c r="K448" s="249"/>
      <c r="L448" s="249">
        <f>185.97*D448</f>
        <v>9484.4699999999993</v>
      </c>
      <c r="M448" s="249">
        <f>164.79*D448</f>
        <v>8404.2900000000009</v>
      </c>
      <c r="N448" s="192"/>
      <c r="O448" s="123">
        <f t="shared" si="353"/>
        <v>17888.759999999998</v>
      </c>
      <c r="P448" s="188"/>
      <c r="Q448" s="106"/>
      <c r="R448" s="69"/>
      <c r="S448" s="70"/>
      <c r="T448" s="71"/>
      <c r="U448" s="69"/>
      <c r="V448" s="200"/>
      <c r="X448" s="60"/>
    </row>
    <row r="449" spans="1:24" s="59" customFormat="1" ht="37.5" customHeight="1" outlineLevel="1">
      <c r="A449" s="66" t="s">
        <v>540</v>
      </c>
      <c r="B449" s="202"/>
      <c r="C449" s="308" t="s">
        <v>32</v>
      </c>
      <c r="D449" s="249">
        <v>55</v>
      </c>
      <c r="E449" s="256" t="s">
        <v>31</v>
      </c>
      <c r="F449" s="296"/>
      <c r="G449" s="296"/>
      <c r="H449" s="296"/>
      <c r="I449" s="249"/>
      <c r="J449" s="249"/>
      <c r="K449" s="249"/>
      <c r="L449" s="249"/>
      <c r="M449" s="249"/>
      <c r="N449" s="192">
        <f>229.63*D449</f>
        <v>12629.65</v>
      </c>
      <c r="O449" s="123">
        <f t="shared" ref="O449:O463" si="404">SUM(L449:N449)</f>
        <v>12629.65</v>
      </c>
      <c r="P449" s="188"/>
      <c r="Q449" s="106"/>
      <c r="R449" s="69"/>
      <c r="S449" s="70"/>
      <c r="T449" s="71"/>
      <c r="U449" s="69"/>
      <c r="V449" s="200"/>
      <c r="X449" s="60"/>
    </row>
    <row r="450" spans="1:24" s="59" customFormat="1" ht="37.5" customHeight="1" outlineLevel="1">
      <c r="A450" s="66" t="s">
        <v>55</v>
      </c>
      <c r="B450" s="202"/>
      <c r="C450" s="117" t="s">
        <v>198</v>
      </c>
      <c r="D450" s="341"/>
      <c r="E450" s="264" t="s">
        <v>4</v>
      </c>
      <c r="F450" s="262"/>
      <c r="G450" s="262"/>
      <c r="H450" s="262"/>
      <c r="I450" s="251"/>
      <c r="J450" s="251"/>
      <c r="K450" s="251"/>
      <c r="L450" s="251">
        <f>13.13*0.21</f>
        <v>2.76</v>
      </c>
      <c r="M450" s="251">
        <f>38.34*0.21</f>
        <v>8.0500000000000007</v>
      </c>
      <c r="N450" s="193">
        <f>19.47*0.21</f>
        <v>4.09</v>
      </c>
      <c r="O450" s="190">
        <f t="shared" si="404"/>
        <v>14.9</v>
      </c>
      <c r="P450" s="182">
        <f>(SUMPRODUCT(O451:O453,P451:P453)/O450)</f>
        <v>0</v>
      </c>
      <c r="Q450" s="183"/>
      <c r="R450" s="184">
        <f t="shared" ref="R450" si="405">P450+Q450</f>
        <v>0</v>
      </c>
      <c r="S450" s="182">
        <f t="shared" ref="S450" si="406">O450*P450</f>
        <v>0</v>
      </c>
      <c r="T450" s="185">
        <f t="shared" ref="T450" si="407">O450*Q450</f>
        <v>0</v>
      </c>
      <c r="U450" s="184">
        <f t="shared" ref="U450" si="408">S450+T450</f>
        <v>0</v>
      </c>
      <c r="V450" s="200" t="s">
        <v>404</v>
      </c>
      <c r="X450" s="60"/>
    </row>
    <row r="451" spans="1:24" s="59" customFormat="1" ht="37.5" customHeight="1" outlineLevel="1">
      <c r="A451" s="66" t="s">
        <v>541</v>
      </c>
      <c r="B451" s="204">
        <v>4100027470</v>
      </c>
      <c r="C451" s="194" t="s">
        <v>111</v>
      </c>
      <c r="D451" s="333">
        <v>50.4</v>
      </c>
      <c r="E451" s="263" t="s">
        <v>30</v>
      </c>
      <c r="F451" s="296"/>
      <c r="G451" s="296"/>
      <c r="H451" s="296"/>
      <c r="I451" s="249"/>
      <c r="J451" s="249"/>
      <c r="K451" s="249"/>
      <c r="L451" s="402">
        <f>13.13*0.21*D451</f>
        <v>139</v>
      </c>
      <c r="M451" s="402">
        <f>38.34*0.21*D451</f>
        <v>406</v>
      </c>
      <c r="N451" s="192"/>
      <c r="O451" s="123">
        <f t="shared" si="404"/>
        <v>545</v>
      </c>
      <c r="P451" s="188"/>
      <c r="Q451" s="189"/>
      <c r="R451" s="184"/>
      <c r="S451" s="182"/>
      <c r="T451" s="185"/>
      <c r="U451" s="184"/>
      <c r="V451" s="200"/>
      <c r="X451" s="60"/>
    </row>
    <row r="452" spans="1:24" s="59" customFormat="1" ht="37.5" customHeight="1" outlineLevel="1">
      <c r="A452" s="66" t="s">
        <v>542</v>
      </c>
      <c r="B452" s="204">
        <v>4100025575</v>
      </c>
      <c r="C452" s="194" t="s">
        <v>112</v>
      </c>
      <c r="D452" s="333">
        <v>50.4</v>
      </c>
      <c r="E452" s="263" t="s">
        <v>30</v>
      </c>
      <c r="F452" s="296"/>
      <c r="G452" s="296"/>
      <c r="H452" s="296"/>
      <c r="I452" s="249"/>
      <c r="J452" s="249"/>
      <c r="K452" s="249"/>
      <c r="L452" s="249"/>
      <c r="M452" s="249"/>
      <c r="N452" s="403">
        <f>19.47*0.21*D452</f>
        <v>206</v>
      </c>
      <c r="O452" s="123">
        <f t="shared" si="404"/>
        <v>206</v>
      </c>
      <c r="P452" s="188"/>
      <c r="Q452" s="189"/>
      <c r="R452" s="184"/>
      <c r="S452" s="182"/>
      <c r="T452" s="185"/>
      <c r="U452" s="184"/>
      <c r="V452" s="200"/>
      <c r="X452" s="60"/>
    </row>
    <row r="453" spans="1:24" s="59" customFormat="1" ht="37.5" customHeight="1" outlineLevel="1">
      <c r="A453" s="66" t="s">
        <v>543</v>
      </c>
      <c r="B453" s="202"/>
      <c r="C453" s="308" t="s">
        <v>128</v>
      </c>
      <c r="D453" s="249">
        <v>51</v>
      </c>
      <c r="E453" s="256" t="s">
        <v>31</v>
      </c>
      <c r="F453" s="296"/>
      <c r="G453" s="296"/>
      <c r="H453" s="296"/>
      <c r="I453" s="249"/>
      <c r="J453" s="249"/>
      <c r="K453" s="249"/>
      <c r="L453" s="249">
        <f>13.13*0.21*D453</f>
        <v>140.62</v>
      </c>
      <c r="M453" s="249">
        <f>38.34*0.21*D453</f>
        <v>410.62</v>
      </c>
      <c r="N453" s="192">
        <f>19.47*0.21*D453</f>
        <v>208.52</v>
      </c>
      <c r="O453" s="123">
        <f t="shared" si="404"/>
        <v>759.76</v>
      </c>
      <c r="P453" s="188"/>
      <c r="Q453" s="106"/>
      <c r="R453" s="69"/>
      <c r="S453" s="70"/>
      <c r="T453" s="71"/>
      <c r="U453" s="69"/>
      <c r="V453" s="200"/>
      <c r="X453" s="60"/>
    </row>
    <row r="454" spans="1:24" s="59" customFormat="1" ht="51.75" customHeight="1" outlineLevel="1">
      <c r="A454" s="66" t="s">
        <v>418</v>
      </c>
      <c r="B454" s="207"/>
      <c r="C454" s="229" t="s">
        <v>92</v>
      </c>
      <c r="D454" s="330"/>
      <c r="E454" s="264" t="s">
        <v>4</v>
      </c>
      <c r="F454" s="297"/>
      <c r="G454" s="297"/>
      <c r="H454" s="297"/>
      <c r="I454" s="251"/>
      <c r="J454" s="251"/>
      <c r="K454" s="251"/>
      <c r="L454" s="251">
        <v>9.35</v>
      </c>
      <c r="M454" s="251">
        <v>6.98</v>
      </c>
      <c r="N454" s="193"/>
      <c r="O454" s="190">
        <f t="shared" si="404"/>
        <v>16.329999999999998</v>
      </c>
      <c r="P454" s="182">
        <f>(SUMPRODUCT(O455:O457,P455:P457)/O454)</f>
        <v>0</v>
      </c>
      <c r="Q454" s="183"/>
      <c r="R454" s="184">
        <f t="shared" ref="R454" si="409">P454+Q454</f>
        <v>0</v>
      </c>
      <c r="S454" s="182">
        <f t="shared" ref="S454" si="410">O454*P454</f>
        <v>0</v>
      </c>
      <c r="T454" s="185">
        <f t="shared" ref="T454" si="411">O454*Q454</f>
        <v>0</v>
      </c>
      <c r="U454" s="184">
        <f t="shared" ref="U454" si="412">S454+T454</f>
        <v>0</v>
      </c>
      <c r="V454" s="200"/>
      <c r="X454" s="60"/>
    </row>
    <row r="455" spans="1:24" s="59" customFormat="1" ht="37.5" customHeight="1" outlineLevel="1">
      <c r="A455" s="66" t="s">
        <v>544</v>
      </c>
      <c r="B455" s="207"/>
      <c r="C455" s="309" t="s">
        <v>18</v>
      </c>
      <c r="D455" s="265"/>
      <c r="E455" s="265" t="s">
        <v>4</v>
      </c>
      <c r="F455" s="296"/>
      <c r="G455" s="296"/>
      <c r="H455" s="296"/>
      <c r="I455" s="249"/>
      <c r="J455" s="249"/>
      <c r="K455" s="249"/>
      <c r="L455" s="249">
        <v>9.35</v>
      </c>
      <c r="M455" s="249">
        <v>6.98</v>
      </c>
      <c r="N455" s="192"/>
      <c r="O455" s="123">
        <f t="shared" si="404"/>
        <v>16.329999999999998</v>
      </c>
      <c r="P455" s="188"/>
      <c r="Q455" s="189"/>
      <c r="R455" s="184"/>
      <c r="S455" s="182"/>
      <c r="T455" s="185"/>
      <c r="U455" s="184"/>
      <c r="V455" s="200"/>
      <c r="X455" s="60"/>
    </row>
    <row r="456" spans="1:24" s="59" customFormat="1" ht="37.5" customHeight="1" outlineLevel="1">
      <c r="A456" s="66" t="s">
        <v>545</v>
      </c>
      <c r="B456" s="207"/>
      <c r="C456" s="309" t="s">
        <v>58</v>
      </c>
      <c r="D456" s="265">
        <v>50.4</v>
      </c>
      <c r="E456" s="265" t="s">
        <v>30</v>
      </c>
      <c r="F456" s="296"/>
      <c r="G456" s="296"/>
      <c r="H456" s="296"/>
      <c r="I456" s="249"/>
      <c r="J456" s="249"/>
      <c r="K456" s="249"/>
      <c r="L456" s="402">
        <f>9.35*D456</f>
        <v>471</v>
      </c>
      <c r="M456" s="402">
        <f>6.98*D456</f>
        <v>352</v>
      </c>
      <c r="N456" s="192"/>
      <c r="O456" s="123">
        <f t="shared" si="404"/>
        <v>823</v>
      </c>
      <c r="P456" s="188"/>
      <c r="Q456" s="189"/>
      <c r="R456" s="184"/>
      <c r="S456" s="182"/>
      <c r="T456" s="185"/>
      <c r="U456" s="184"/>
      <c r="V456" s="200"/>
      <c r="X456" s="60"/>
    </row>
    <row r="457" spans="1:24" s="59" customFormat="1" ht="37.5" customHeight="1" outlineLevel="1">
      <c r="A457" s="66" t="s">
        <v>546</v>
      </c>
      <c r="B457" s="207"/>
      <c r="C457" s="309" t="s">
        <v>59</v>
      </c>
      <c r="D457" s="263">
        <v>2.3E-2</v>
      </c>
      <c r="E457" s="265" t="s">
        <v>34</v>
      </c>
      <c r="F457" s="296"/>
      <c r="G457" s="296"/>
      <c r="H457" s="296"/>
      <c r="I457" s="249"/>
      <c r="J457" s="249"/>
      <c r="K457" s="249"/>
      <c r="L457" s="249">
        <f>9.35*D457</f>
        <v>0.22</v>
      </c>
      <c r="M457" s="249">
        <f>6.98*D457</f>
        <v>0.16</v>
      </c>
      <c r="N457" s="192"/>
      <c r="O457" s="123">
        <f t="shared" si="404"/>
        <v>0.38</v>
      </c>
      <c r="P457" s="188"/>
      <c r="Q457" s="106"/>
      <c r="R457" s="7"/>
      <c r="S457" s="8"/>
      <c r="T457" s="9"/>
      <c r="U457" s="7"/>
      <c r="V457" s="200"/>
      <c r="X457" s="60"/>
    </row>
    <row r="458" spans="1:24" s="59" customFormat="1" ht="37.5" customHeight="1" outlineLevel="1">
      <c r="A458" s="66" t="s">
        <v>547</v>
      </c>
      <c r="B458" s="207"/>
      <c r="C458" s="13" t="s">
        <v>403</v>
      </c>
      <c r="D458" s="294"/>
      <c r="E458" s="264" t="s">
        <v>4</v>
      </c>
      <c r="F458" s="297"/>
      <c r="G458" s="297"/>
      <c r="H458" s="297"/>
      <c r="I458" s="251"/>
      <c r="J458" s="251"/>
      <c r="K458" s="251"/>
      <c r="L458" s="251"/>
      <c r="M458" s="251"/>
      <c r="N458" s="193">
        <v>95.14</v>
      </c>
      <c r="O458" s="190">
        <f t="shared" si="404"/>
        <v>95.14</v>
      </c>
      <c r="P458" s="182">
        <f>(SUMPRODUCT(O459:O461,P459:P461)/O458)</f>
        <v>0</v>
      </c>
      <c r="Q458" s="183"/>
      <c r="R458" s="184">
        <f t="shared" ref="R458" si="413">P458+Q458</f>
        <v>0</v>
      </c>
      <c r="S458" s="182">
        <f t="shared" ref="S458" si="414">O458*P458</f>
        <v>0</v>
      </c>
      <c r="T458" s="185">
        <f t="shared" ref="T458" si="415">O458*Q458</f>
        <v>0</v>
      </c>
      <c r="U458" s="184">
        <f t="shared" ref="U458" si="416">S458+T458</f>
        <v>0</v>
      </c>
      <c r="V458" s="200"/>
      <c r="X458" s="60"/>
    </row>
    <row r="459" spans="1:24" s="59" customFormat="1" ht="37.5" customHeight="1" outlineLevel="1">
      <c r="A459" s="66" t="s">
        <v>548</v>
      </c>
      <c r="B459" s="207"/>
      <c r="C459" s="309" t="s">
        <v>18</v>
      </c>
      <c r="D459" s="265"/>
      <c r="E459" s="265" t="s">
        <v>4</v>
      </c>
      <c r="F459" s="296"/>
      <c r="G459" s="296"/>
      <c r="H459" s="296"/>
      <c r="I459" s="249"/>
      <c r="J459" s="249"/>
      <c r="K459" s="249"/>
      <c r="L459" s="249"/>
      <c r="M459" s="249"/>
      <c r="N459" s="192">
        <v>95.14</v>
      </c>
      <c r="O459" s="123">
        <f t="shared" si="404"/>
        <v>95.14</v>
      </c>
      <c r="P459" s="188"/>
      <c r="Q459" s="189"/>
      <c r="R459" s="184"/>
      <c r="S459" s="182"/>
      <c r="T459" s="185"/>
      <c r="U459" s="184"/>
      <c r="V459" s="200"/>
      <c r="X459" s="60"/>
    </row>
    <row r="460" spans="1:24" s="59" customFormat="1" ht="37.5" customHeight="1" outlineLevel="1">
      <c r="A460" s="66" t="s">
        <v>549</v>
      </c>
      <c r="B460" s="207"/>
      <c r="C460" s="309" t="s">
        <v>17</v>
      </c>
      <c r="D460" s="263"/>
      <c r="E460" s="265" t="s">
        <v>4</v>
      </c>
      <c r="F460" s="296"/>
      <c r="G460" s="296"/>
      <c r="H460" s="296"/>
      <c r="I460" s="249"/>
      <c r="J460" s="249"/>
      <c r="K460" s="249"/>
      <c r="L460" s="249"/>
      <c r="M460" s="249"/>
      <c r="N460" s="192">
        <f>N461</f>
        <v>68.2</v>
      </c>
      <c r="O460" s="123">
        <f t="shared" si="404"/>
        <v>68.2</v>
      </c>
      <c r="P460" s="188"/>
      <c r="Q460" s="189"/>
      <c r="R460" s="184"/>
      <c r="S460" s="182"/>
      <c r="T460" s="185"/>
      <c r="U460" s="184"/>
      <c r="V460" s="200"/>
      <c r="X460" s="60"/>
    </row>
    <row r="461" spans="1:24" s="59" customFormat="1" ht="37.5" customHeight="1" outlineLevel="1">
      <c r="A461" s="66" t="s">
        <v>550</v>
      </c>
      <c r="B461" s="207"/>
      <c r="C461" s="308" t="s">
        <v>130</v>
      </c>
      <c r="D461" s="263"/>
      <c r="E461" s="265" t="s">
        <v>4</v>
      </c>
      <c r="F461" s="296"/>
      <c r="G461" s="296"/>
      <c r="H461" s="296"/>
      <c r="I461" s="249"/>
      <c r="J461" s="249"/>
      <c r="K461" s="249"/>
      <c r="L461" s="249"/>
      <c r="M461" s="249"/>
      <c r="N461" s="192">
        <v>68.2</v>
      </c>
      <c r="O461" s="123">
        <f t="shared" si="404"/>
        <v>68.2</v>
      </c>
      <c r="P461" s="188"/>
      <c r="Q461" s="106"/>
      <c r="R461" s="7"/>
      <c r="S461" s="8"/>
      <c r="T461" s="9"/>
      <c r="U461" s="7"/>
      <c r="V461" s="200"/>
      <c r="X461" s="60"/>
    </row>
    <row r="462" spans="1:24" s="59" customFormat="1" ht="37.5" customHeight="1" outlineLevel="1">
      <c r="A462" s="66" t="s">
        <v>551</v>
      </c>
      <c r="B462" s="208"/>
      <c r="C462" s="229" t="s">
        <v>119</v>
      </c>
      <c r="D462" s="321"/>
      <c r="E462" s="239" t="s">
        <v>4</v>
      </c>
      <c r="F462" s="262"/>
      <c r="G462" s="262"/>
      <c r="H462" s="262"/>
      <c r="I462" s="185"/>
      <c r="J462" s="185"/>
      <c r="K462" s="185"/>
      <c r="L462" s="185">
        <v>63.68</v>
      </c>
      <c r="M462" s="185">
        <v>49.59</v>
      </c>
      <c r="N462" s="238">
        <v>40.869999999999997</v>
      </c>
      <c r="O462" s="99">
        <f t="shared" si="404"/>
        <v>154.13999999999999</v>
      </c>
      <c r="P462" s="183"/>
      <c r="Q462" s="183"/>
      <c r="R462" s="184">
        <f t="shared" ref="R462:R463" si="417">P462+Q462</f>
        <v>0</v>
      </c>
      <c r="S462" s="182">
        <f t="shared" ref="S462:S463" si="418">O462*P462</f>
        <v>0</v>
      </c>
      <c r="T462" s="185">
        <f t="shared" ref="T462:T463" si="419">O462*Q462</f>
        <v>0</v>
      </c>
      <c r="U462" s="184">
        <f t="shared" ref="U462:U463" si="420">S462+T462</f>
        <v>0</v>
      </c>
      <c r="V462" s="200"/>
      <c r="X462" s="60"/>
    </row>
    <row r="463" spans="1:24" s="59" customFormat="1" ht="37.5" customHeight="1" outlineLevel="1">
      <c r="A463" s="66" t="s">
        <v>552</v>
      </c>
      <c r="B463" s="209"/>
      <c r="C463" s="229" t="s">
        <v>120</v>
      </c>
      <c r="D463" s="321"/>
      <c r="E463" s="239" t="s">
        <v>121</v>
      </c>
      <c r="F463" s="262"/>
      <c r="G463" s="262"/>
      <c r="H463" s="262"/>
      <c r="I463" s="185"/>
      <c r="J463" s="185"/>
      <c r="K463" s="185"/>
      <c r="L463" s="185">
        <v>8.43</v>
      </c>
      <c r="M463" s="185">
        <v>63.3</v>
      </c>
      <c r="N463" s="238">
        <v>30.08</v>
      </c>
      <c r="O463" s="99">
        <f t="shared" si="404"/>
        <v>101.81</v>
      </c>
      <c r="P463" s="183"/>
      <c r="Q463" s="183"/>
      <c r="R463" s="184">
        <f t="shared" si="417"/>
        <v>0</v>
      </c>
      <c r="S463" s="182">
        <f t="shared" si="418"/>
        <v>0</v>
      </c>
      <c r="T463" s="185">
        <f t="shared" si="419"/>
        <v>0</v>
      </c>
      <c r="U463" s="184">
        <f t="shared" si="420"/>
        <v>0</v>
      </c>
      <c r="V463" s="200"/>
      <c r="X463" s="60"/>
    </row>
    <row r="464" spans="1:24" s="59" customFormat="1" ht="46.5" customHeight="1">
      <c r="A464" s="108" t="s">
        <v>158</v>
      </c>
      <c r="B464" s="109"/>
      <c r="C464" s="318" t="s">
        <v>368</v>
      </c>
      <c r="D464" s="322"/>
      <c r="E464" s="270"/>
      <c r="F464" s="270"/>
      <c r="G464" s="270"/>
      <c r="H464" s="270"/>
      <c r="I464" s="246"/>
      <c r="J464" s="246"/>
      <c r="K464" s="246"/>
      <c r="L464" s="270"/>
      <c r="M464" s="246"/>
      <c r="N464" s="277"/>
      <c r="O464" s="98"/>
      <c r="P464" s="95"/>
      <c r="Q464" s="84"/>
      <c r="R464" s="85"/>
      <c r="S464" s="210">
        <f>SUM(S465:S473)</f>
        <v>0</v>
      </c>
      <c r="T464" s="211">
        <f>SUM(T465:T473)</f>
        <v>0</v>
      </c>
      <c r="U464" s="212">
        <f>T464+S464</f>
        <v>0</v>
      </c>
      <c r="V464" s="289"/>
      <c r="X464" s="60"/>
    </row>
    <row r="465" spans="1:24" s="59" customFormat="1" ht="37.5" customHeight="1" outlineLevel="1">
      <c r="A465" s="66" t="s">
        <v>187</v>
      </c>
      <c r="B465" s="202"/>
      <c r="C465" s="90" t="s">
        <v>82</v>
      </c>
      <c r="D465" s="323"/>
      <c r="E465" s="269" t="s">
        <v>4</v>
      </c>
      <c r="F465" s="262"/>
      <c r="G465" s="262"/>
      <c r="H465" s="262"/>
      <c r="I465" s="185"/>
      <c r="J465" s="185"/>
      <c r="K465" s="185"/>
      <c r="L465" s="185">
        <v>81.2</v>
      </c>
      <c r="M465" s="185">
        <v>857.47</v>
      </c>
      <c r="N465" s="238">
        <v>97.01</v>
      </c>
      <c r="O465" s="99">
        <f>SUM(L465:N465)</f>
        <v>1035.68</v>
      </c>
      <c r="P465" s="183"/>
      <c r="Q465" s="183"/>
      <c r="R465" s="184">
        <f t="shared" ref="R465:R472" si="421">P465+Q465</f>
        <v>0</v>
      </c>
      <c r="S465" s="182">
        <f t="shared" ref="S465:S472" si="422">O465*P465</f>
        <v>0</v>
      </c>
      <c r="T465" s="185">
        <f t="shared" ref="T465:T472" si="423">O465*Q465</f>
        <v>0</v>
      </c>
      <c r="U465" s="184">
        <f t="shared" ref="U465:U472" si="424">S465+T465</f>
        <v>0</v>
      </c>
      <c r="V465" s="200"/>
      <c r="X465" s="60"/>
    </row>
    <row r="466" spans="1:24" s="59" customFormat="1" ht="37.5" customHeight="1" outlineLevel="1">
      <c r="A466" s="66" t="s">
        <v>188</v>
      </c>
      <c r="B466" s="202"/>
      <c r="C466" s="90" t="s">
        <v>83</v>
      </c>
      <c r="D466" s="323"/>
      <c r="E466" s="269" t="s">
        <v>4</v>
      </c>
      <c r="F466" s="262"/>
      <c r="G466" s="262"/>
      <c r="H466" s="262"/>
      <c r="I466" s="185"/>
      <c r="J466" s="185"/>
      <c r="K466" s="185"/>
      <c r="L466" s="185">
        <v>9.35</v>
      </c>
      <c r="M466" s="185">
        <v>18.57</v>
      </c>
      <c r="N466" s="238"/>
      <c r="O466" s="99">
        <f t="shared" ref="O466:O472" si="425">SUM(L466:N466)</f>
        <v>27.92</v>
      </c>
      <c r="P466" s="183"/>
      <c r="Q466" s="183"/>
      <c r="R466" s="184">
        <f t="shared" si="421"/>
        <v>0</v>
      </c>
      <c r="S466" s="182">
        <f t="shared" si="422"/>
        <v>0</v>
      </c>
      <c r="T466" s="185">
        <f t="shared" si="423"/>
        <v>0</v>
      </c>
      <c r="U466" s="184">
        <f t="shared" si="424"/>
        <v>0</v>
      </c>
      <c r="V466" s="200"/>
      <c r="X466" s="60"/>
    </row>
    <row r="467" spans="1:24" s="59" customFormat="1" ht="37.5" customHeight="1" outlineLevel="1">
      <c r="A467" s="66" t="s">
        <v>189</v>
      </c>
      <c r="B467" s="202"/>
      <c r="C467" s="90" t="s">
        <v>84</v>
      </c>
      <c r="D467" s="323"/>
      <c r="E467" s="269" t="s">
        <v>4</v>
      </c>
      <c r="F467" s="262"/>
      <c r="G467" s="262"/>
      <c r="H467" s="262"/>
      <c r="I467" s="185"/>
      <c r="J467" s="185"/>
      <c r="K467" s="185"/>
      <c r="L467" s="185">
        <v>4.4000000000000004</v>
      </c>
      <c r="M467" s="185">
        <v>10.44</v>
      </c>
      <c r="N467" s="238">
        <v>14</v>
      </c>
      <c r="O467" s="99">
        <f t="shared" si="425"/>
        <v>28.84</v>
      </c>
      <c r="P467" s="183"/>
      <c r="Q467" s="183"/>
      <c r="R467" s="184">
        <f t="shared" si="421"/>
        <v>0</v>
      </c>
      <c r="S467" s="182">
        <f t="shared" si="422"/>
        <v>0</v>
      </c>
      <c r="T467" s="185">
        <f t="shared" si="423"/>
        <v>0</v>
      </c>
      <c r="U467" s="184">
        <f t="shared" si="424"/>
        <v>0</v>
      </c>
      <c r="V467" s="200"/>
      <c r="X467" s="60"/>
    </row>
    <row r="468" spans="1:24" s="59" customFormat="1" ht="37.5" customHeight="1" outlineLevel="1">
      <c r="A468" s="66" t="s">
        <v>190</v>
      </c>
      <c r="B468" s="202"/>
      <c r="C468" s="90" t="s">
        <v>15</v>
      </c>
      <c r="D468" s="323"/>
      <c r="E468" s="269" t="s">
        <v>4</v>
      </c>
      <c r="F468" s="262"/>
      <c r="G468" s="262"/>
      <c r="H468" s="262"/>
      <c r="I468" s="185"/>
      <c r="J468" s="185"/>
      <c r="K468" s="185"/>
      <c r="L468" s="185">
        <f>354.84+20.42</f>
        <v>375.26</v>
      </c>
      <c r="M468" s="185">
        <f>764.81+20.33</f>
        <v>785.14</v>
      </c>
      <c r="N468" s="238">
        <f>407.35+3.3</f>
        <v>410.65</v>
      </c>
      <c r="O468" s="99">
        <f t="shared" si="425"/>
        <v>1571.05</v>
      </c>
      <c r="P468" s="183"/>
      <c r="Q468" s="183"/>
      <c r="R468" s="184">
        <f t="shared" si="421"/>
        <v>0</v>
      </c>
      <c r="S468" s="182">
        <f t="shared" si="422"/>
        <v>0</v>
      </c>
      <c r="T468" s="185">
        <f t="shared" si="423"/>
        <v>0</v>
      </c>
      <c r="U468" s="184">
        <f t="shared" si="424"/>
        <v>0</v>
      </c>
      <c r="V468" s="200" t="s">
        <v>122</v>
      </c>
      <c r="X468" s="60"/>
    </row>
    <row r="469" spans="1:24" s="59" customFormat="1" ht="37.5" customHeight="1" outlineLevel="1">
      <c r="A469" s="66" t="s">
        <v>191</v>
      </c>
      <c r="B469" s="202"/>
      <c r="C469" s="90" t="s">
        <v>14</v>
      </c>
      <c r="D469" s="323"/>
      <c r="E469" s="269" t="s">
        <v>4</v>
      </c>
      <c r="F469" s="262"/>
      <c r="G469" s="262"/>
      <c r="H469" s="262"/>
      <c r="I469" s="185"/>
      <c r="J469" s="185"/>
      <c r="K469" s="185"/>
      <c r="L469" s="185">
        <v>129.9</v>
      </c>
      <c r="M469" s="185">
        <v>155.1</v>
      </c>
      <c r="N469" s="238">
        <v>92.8</v>
      </c>
      <c r="O469" s="99">
        <f t="shared" si="425"/>
        <v>377.8</v>
      </c>
      <c r="P469" s="183"/>
      <c r="Q469" s="183"/>
      <c r="R469" s="184">
        <f t="shared" si="421"/>
        <v>0</v>
      </c>
      <c r="S469" s="182">
        <f t="shared" si="422"/>
        <v>0</v>
      </c>
      <c r="T469" s="185">
        <f t="shared" si="423"/>
        <v>0</v>
      </c>
      <c r="U469" s="184">
        <f t="shared" si="424"/>
        <v>0</v>
      </c>
      <c r="V469" s="200"/>
      <c r="X469" s="60"/>
    </row>
    <row r="470" spans="1:24" s="59" customFormat="1" ht="37.5" customHeight="1" outlineLevel="1">
      <c r="A470" s="66" t="s">
        <v>192</v>
      </c>
      <c r="B470" s="343"/>
      <c r="C470" s="244" t="s">
        <v>118</v>
      </c>
      <c r="D470" s="323"/>
      <c r="E470" s="269" t="s">
        <v>4</v>
      </c>
      <c r="F470" s="262"/>
      <c r="G470" s="262"/>
      <c r="H470" s="262"/>
      <c r="I470" s="185"/>
      <c r="J470" s="185"/>
      <c r="K470" s="185"/>
      <c r="L470" s="185">
        <v>86.68</v>
      </c>
      <c r="M470" s="185">
        <v>202.28</v>
      </c>
      <c r="N470" s="238">
        <v>98.35</v>
      </c>
      <c r="O470" s="99">
        <f t="shared" si="425"/>
        <v>387.31</v>
      </c>
      <c r="P470" s="183"/>
      <c r="Q470" s="183"/>
      <c r="R470" s="184">
        <f t="shared" si="421"/>
        <v>0</v>
      </c>
      <c r="S470" s="182">
        <f t="shared" si="422"/>
        <v>0</v>
      </c>
      <c r="T470" s="185">
        <f t="shared" si="423"/>
        <v>0</v>
      </c>
      <c r="U470" s="184">
        <f t="shared" si="424"/>
        <v>0</v>
      </c>
      <c r="V470" s="200"/>
      <c r="X470" s="60"/>
    </row>
    <row r="471" spans="1:24" s="59" customFormat="1" ht="37.5" customHeight="1" outlineLevel="1">
      <c r="A471" s="66" t="s">
        <v>193</v>
      </c>
      <c r="B471" s="343"/>
      <c r="C471" s="323" t="s">
        <v>23</v>
      </c>
      <c r="D471" s="323"/>
      <c r="E471" s="269" t="s">
        <v>4</v>
      </c>
      <c r="F471" s="262"/>
      <c r="G471" s="262"/>
      <c r="H471" s="262"/>
      <c r="I471" s="185"/>
      <c r="J471" s="185"/>
      <c r="K471" s="185"/>
      <c r="L471" s="185">
        <v>152.87</v>
      </c>
      <c r="M471" s="185">
        <v>324.3</v>
      </c>
      <c r="N471" s="238">
        <v>210.75</v>
      </c>
      <c r="O471" s="99">
        <f t="shared" si="425"/>
        <v>687.92</v>
      </c>
      <c r="P471" s="183"/>
      <c r="Q471" s="183"/>
      <c r="R471" s="184">
        <f t="shared" si="421"/>
        <v>0</v>
      </c>
      <c r="S471" s="182">
        <f t="shared" si="422"/>
        <v>0</v>
      </c>
      <c r="T471" s="185">
        <f t="shared" si="423"/>
        <v>0</v>
      </c>
      <c r="U471" s="184">
        <f t="shared" si="424"/>
        <v>0</v>
      </c>
      <c r="V471" s="200"/>
      <c r="X471" s="60"/>
    </row>
    <row r="472" spans="1:24" s="59" customFormat="1" ht="37.5" customHeight="1" outlineLevel="1">
      <c r="A472" s="66" t="s">
        <v>194</v>
      </c>
      <c r="B472" s="343"/>
      <c r="C472" s="323" t="s">
        <v>85</v>
      </c>
      <c r="D472" s="323"/>
      <c r="E472" s="269" t="s">
        <v>86</v>
      </c>
      <c r="F472" s="262"/>
      <c r="G472" s="262"/>
      <c r="H472" s="262"/>
      <c r="I472" s="185"/>
      <c r="J472" s="185"/>
      <c r="K472" s="185"/>
      <c r="L472" s="185">
        <v>35</v>
      </c>
      <c r="M472" s="185">
        <v>17.52</v>
      </c>
      <c r="N472" s="238">
        <v>30.1</v>
      </c>
      <c r="O472" s="99">
        <f t="shared" si="425"/>
        <v>82.62</v>
      </c>
      <c r="P472" s="183"/>
      <c r="Q472" s="183"/>
      <c r="R472" s="184">
        <f t="shared" si="421"/>
        <v>0</v>
      </c>
      <c r="S472" s="182">
        <f t="shared" si="422"/>
        <v>0</v>
      </c>
      <c r="T472" s="185">
        <f t="shared" si="423"/>
        <v>0</v>
      </c>
      <c r="U472" s="184">
        <f t="shared" si="424"/>
        <v>0</v>
      </c>
      <c r="V472" s="200"/>
      <c r="X472" s="60"/>
    </row>
    <row r="473" spans="1:24" s="59" customFormat="1" ht="37.5" customHeight="1" outlineLevel="1">
      <c r="A473" s="66" t="s">
        <v>364</v>
      </c>
      <c r="B473" s="342"/>
      <c r="C473" s="323" t="s">
        <v>365</v>
      </c>
      <c r="D473" s="323"/>
      <c r="E473" s="269" t="s">
        <v>4</v>
      </c>
      <c r="F473" s="262"/>
      <c r="G473" s="262"/>
      <c r="H473" s="262"/>
      <c r="I473" s="185"/>
      <c r="J473" s="185"/>
      <c r="K473" s="185"/>
      <c r="L473" s="185">
        <v>5.2</v>
      </c>
      <c r="M473" s="185">
        <v>2.4</v>
      </c>
      <c r="N473" s="237">
        <v>4.0999999999999996</v>
      </c>
      <c r="O473" s="99">
        <f t="shared" ref="O473" si="426">SUM(L473:N473)</f>
        <v>11.7</v>
      </c>
      <c r="P473" s="183"/>
      <c r="Q473" s="183"/>
      <c r="R473" s="184">
        <f t="shared" ref="R473" si="427">P473+Q473</f>
        <v>0</v>
      </c>
      <c r="S473" s="182">
        <f t="shared" ref="S473" si="428">O473*P473</f>
        <v>0</v>
      </c>
      <c r="T473" s="185">
        <f t="shared" ref="T473" si="429">O473*Q473</f>
        <v>0</v>
      </c>
      <c r="U473" s="184">
        <f t="shared" ref="U473" si="430">S473+T473</f>
        <v>0</v>
      </c>
      <c r="V473" s="200"/>
      <c r="X473" s="60"/>
    </row>
    <row r="474" spans="1:24" s="59" customFormat="1" ht="37.5" customHeight="1" thickBot="1">
      <c r="A474" s="135"/>
      <c r="B474" s="136" t="s">
        <v>81</v>
      </c>
      <c r="C474" s="137" t="s">
        <v>24</v>
      </c>
      <c r="D474" s="138"/>
      <c r="E474" s="139"/>
      <c r="F474" s="140"/>
      <c r="G474" s="140"/>
      <c r="H474" s="140"/>
      <c r="I474" s="140"/>
      <c r="J474" s="140"/>
      <c r="K474" s="140"/>
      <c r="L474" s="140"/>
      <c r="M474" s="140"/>
      <c r="N474" s="140"/>
      <c r="O474" s="151"/>
      <c r="P474" s="141"/>
      <c r="Q474" s="142"/>
      <c r="R474" s="148"/>
      <c r="S474" s="304">
        <f>S391+S16</f>
        <v>0</v>
      </c>
      <c r="T474" s="305">
        <f>T391+T16</f>
        <v>0</v>
      </c>
      <c r="U474" s="306">
        <f>T474+S474</f>
        <v>0</v>
      </c>
      <c r="V474" s="293"/>
      <c r="X474" s="60"/>
    </row>
    <row r="475" spans="1:24" s="59" customFormat="1" ht="37.5" customHeight="1">
      <c r="A475" s="125"/>
      <c r="B475" s="126"/>
      <c r="C475" s="127"/>
      <c r="D475" s="127"/>
      <c r="E475" s="128"/>
      <c r="F475" s="129"/>
      <c r="G475" s="129"/>
      <c r="H475" s="129"/>
      <c r="I475" s="129"/>
      <c r="J475" s="129"/>
      <c r="K475" s="129"/>
      <c r="L475" s="129"/>
      <c r="M475" s="129"/>
      <c r="N475" s="129"/>
      <c r="O475" s="129"/>
      <c r="P475" s="130"/>
      <c r="Q475" s="131"/>
      <c r="R475" s="129"/>
      <c r="S475" s="129"/>
      <c r="T475" s="129"/>
      <c r="U475" s="129"/>
      <c r="V475" s="128"/>
      <c r="X475" s="60"/>
    </row>
    <row r="476" spans="1:24" s="372" customFormat="1" ht="30" customHeight="1">
      <c r="A476" s="364"/>
      <c r="B476" s="365" t="s">
        <v>369</v>
      </c>
      <c r="C476" s="366"/>
      <c r="D476" s="367"/>
      <c r="E476" s="367"/>
      <c r="F476" s="367"/>
      <c r="G476" s="367"/>
      <c r="H476" s="367"/>
      <c r="I476" s="367"/>
      <c r="J476" s="367"/>
      <c r="K476" s="367"/>
      <c r="L476" s="367"/>
      <c r="M476" s="367"/>
      <c r="N476" s="368"/>
      <c r="O476" s="368"/>
      <c r="P476" s="369"/>
      <c r="Q476" s="370"/>
      <c r="R476" s="371"/>
      <c r="S476" s="371"/>
      <c r="T476" s="371"/>
      <c r="U476" s="368"/>
      <c r="W476" s="373"/>
    </row>
    <row r="477" spans="1:24" s="372" customFormat="1" ht="30" customHeight="1">
      <c r="A477" s="364"/>
      <c r="B477" s="349" t="s">
        <v>370</v>
      </c>
      <c r="C477" s="374"/>
      <c r="D477" s="374"/>
      <c r="E477" s="374"/>
      <c r="F477" s="374"/>
      <c r="G477" s="374"/>
      <c r="H477" s="374"/>
      <c r="I477" s="374"/>
      <c r="J477" s="374"/>
      <c r="K477" s="374"/>
      <c r="L477" s="374"/>
      <c r="M477" s="374"/>
      <c r="N477" s="374"/>
      <c r="O477" s="374"/>
      <c r="P477" s="374"/>
      <c r="Q477" s="370"/>
      <c r="R477" s="371"/>
      <c r="S477" s="371"/>
      <c r="T477" s="371"/>
      <c r="U477" s="368"/>
      <c r="W477" s="373"/>
    </row>
    <row r="478" spans="1:24" s="372" customFormat="1" ht="13.5" customHeight="1">
      <c r="A478" s="364"/>
      <c r="B478" s="375"/>
      <c r="C478" s="374"/>
      <c r="D478" s="374"/>
      <c r="E478" s="374"/>
      <c r="F478" s="374"/>
      <c r="G478" s="374"/>
      <c r="H478" s="374"/>
      <c r="I478" s="374"/>
      <c r="J478" s="374"/>
      <c r="K478" s="374"/>
      <c r="L478" s="374"/>
      <c r="M478" s="374"/>
      <c r="N478" s="368"/>
      <c r="O478" s="374"/>
      <c r="P478" s="374"/>
      <c r="Q478" s="370"/>
      <c r="R478" s="371"/>
      <c r="S478" s="371"/>
      <c r="T478" s="371"/>
      <c r="U478" s="368"/>
      <c r="W478" s="373"/>
    </row>
    <row r="479" spans="1:24" s="372" customFormat="1" ht="30" customHeight="1">
      <c r="A479" s="364"/>
      <c r="B479" s="376" t="s">
        <v>371</v>
      </c>
      <c r="C479" s="374"/>
      <c r="D479" s="374"/>
      <c r="E479" s="374"/>
      <c r="F479" s="374"/>
      <c r="G479" s="374"/>
      <c r="H479" s="374"/>
      <c r="I479" s="374"/>
      <c r="J479" s="374"/>
      <c r="K479" s="374"/>
      <c r="L479" s="374"/>
      <c r="M479" s="374"/>
      <c r="N479" s="374"/>
      <c r="O479" s="374"/>
      <c r="P479" s="374"/>
      <c r="Q479" s="370"/>
      <c r="R479" s="371"/>
      <c r="S479" s="371"/>
      <c r="T479" s="371"/>
      <c r="U479" s="368"/>
      <c r="W479" s="373"/>
    </row>
    <row r="480" spans="1:24" s="372" customFormat="1" ht="13.5" customHeight="1">
      <c r="A480" s="364"/>
      <c r="B480" s="364"/>
      <c r="C480" s="366"/>
      <c r="D480" s="367"/>
      <c r="E480" s="367"/>
      <c r="F480" s="367"/>
      <c r="G480" s="367"/>
      <c r="H480" s="367"/>
      <c r="I480" s="367"/>
      <c r="J480" s="367"/>
      <c r="K480" s="367"/>
      <c r="L480" s="367"/>
      <c r="M480" s="367"/>
      <c r="N480" s="367"/>
      <c r="O480" s="368"/>
      <c r="P480" s="369"/>
      <c r="Q480" s="370"/>
      <c r="R480" s="371"/>
      <c r="S480" s="371"/>
      <c r="T480" s="371"/>
      <c r="U480" s="368"/>
      <c r="W480" s="373"/>
    </row>
    <row r="481" spans="1:45" s="350" customFormat="1" ht="45" customHeight="1">
      <c r="A481" s="377">
        <v>1</v>
      </c>
      <c r="B481" s="486" t="s">
        <v>372</v>
      </c>
      <c r="C481" s="486"/>
      <c r="D481" s="486"/>
      <c r="E481" s="486"/>
      <c r="F481" s="486"/>
      <c r="G481" s="486"/>
      <c r="H481" s="486"/>
      <c r="I481" s="486"/>
      <c r="J481" s="486"/>
      <c r="K481" s="486"/>
      <c r="L481" s="486"/>
      <c r="M481" s="486"/>
      <c r="N481" s="486"/>
      <c r="O481" s="486"/>
      <c r="P481" s="486"/>
      <c r="Q481" s="486"/>
      <c r="R481" s="486"/>
      <c r="S481" s="486"/>
      <c r="T481" s="486"/>
      <c r="U481" s="486"/>
      <c r="V481" s="486"/>
      <c r="W481" s="351"/>
    </row>
    <row r="482" spans="1:45" s="350" customFormat="1" ht="30" customHeight="1">
      <c r="A482" s="377">
        <v>2</v>
      </c>
      <c r="B482" s="464" t="s">
        <v>373</v>
      </c>
      <c r="C482" s="464"/>
      <c r="D482" s="464"/>
      <c r="E482" s="464"/>
      <c r="F482" s="464"/>
      <c r="G482" s="464"/>
      <c r="H482" s="464"/>
      <c r="I482" s="464"/>
      <c r="J482" s="464"/>
      <c r="K482" s="464"/>
      <c r="L482" s="464"/>
      <c r="M482" s="464"/>
      <c r="N482" s="464"/>
      <c r="O482" s="464"/>
      <c r="P482" s="464"/>
      <c r="Q482" s="464"/>
      <c r="R482" s="464"/>
      <c r="S482" s="464"/>
      <c r="T482" s="464"/>
      <c r="U482" s="464"/>
      <c r="V482" s="464"/>
      <c r="W482" s="351"/>
    </row>
    <row r="483" spans="1:45" s="350" customFormat="1" ht="45" customHeight="1">
      <c r="A483" s="377">
        <v>3</v>
      </c>
      <c r="B483" s="465" t="s">
        <v>374</v>
      </c>
      <c r="C483" s="465"/>
      <c r="D483" s="465"/>
      <c r="E483" s="465"/>
      <c r="F483" s="465"/>
      <c r="G483" s="465"/>
      <c r="H483" s="465"/>
      <c r="I483" s="465"/>
      <c r="J483" s="465"/>
      <c r="K483" s="465"/>
      <c r="L483" s="465"/>
      <c r="M483" s="465"/>
      <c r="N483" s="465"/>
      <c r="O483" s="465"/>
      <c r="P483" s="465"/>
      <c r="Q483" s="465"/>
      <c r="R483" s="465"/>
      <c r="S483" s="465"/>
      <c r="T483" s="465"/>
      <c r="U483" s="465"/>
      <c r="V483" s="465"/>
      <c r="W483" s="351"/>
    </row>
    <row r="484" spans="1:45" s="350" customFormat="1" ht="198.75" customHeight="1">
      <c r="A484" s="377">
        <v>4</v>
      </c>
      <c r="B484" s="466" t="s">
        <v>402</v>
      </c>
      <c r="C484" s="466"/>
      <c r="D484" s="466"/>
      <c r="E484" s="466"/>
      <c r="F484" s="466"/>
      <c r="G484" s="466"/>
      <c r="H484" s="466"/>
      <c r="I484" s="466"/>
      <c r="J484" s="466"/>
      <c r="K484" s="466"/>
      <c r="L484" s="466"/>
      <c r="M484" s="466"/>
      <c r="N484" s="466"/>
      <c r="O484" s="466"/>
      <c r="P484" s="466"/>
      <c r="Q484" s="466"/>
      <c r="R484" s="466"/>
      <c r="S484" s="466"/>
      <c r="T484" s="466"/>
      <c r="U484" s="466"/>
      <c r="V484" s="466"/>
      <c r="W484" s="351"/>
    </row>
    <row r="485" spans="1:45" s="350" customFormat="1" ht="35.25" customHeight="1">
      <c r="A485" s="377">
        <v>5</v>
      </c>
      <c r="B485" s="460" t="s">
        <v>375</v>
      </c>
      <c r="C485" s="460"/>
      <c r="D485" s="460"/>
      <c r="E485" s="460"/>
      <c r="F485" s="460"/>
      <c r="G485" s="460"/>
      <c r="H485" s="460"/>
      <c r="I485" s="460"/>
      <c r="J485" s="460"/>
      <c r="K485" s="460"/>
      <c r="L485" s="460"/>
      <c r="M485" s="460"/>
      <c r="N485" s="460"/>
      <c r="O485" s="460"/>
      <c r="P485" s="460"/>
      <c r="Q485" s="460"/>
      <c r="R485" s="460"/>
      <c r="S485" s="460"/>
      <c r="T485" s="460"/>
      <c r="U485" s="460"/>
      <c r="V485" s="460"/>
      <c r="W485" s="354"/>
      <c r="X485" s="355"/>
      <c r="Y485" s="355"/>
      <c r="Z485" s="355"/>
      <c r="AA485" s="355"/>
      <c r="AB485" s="355"/>
      <c r="AC485" s="355"/>
      <c r="AD485" s="355"/>
      <c r="AE485" s="355"/>
      <c r="AF485" s="355"/>
      <c r="AG485" s="355"/>
      <c r="AH485" s="355"/>
      <c r="AI485" s="355"/>
    </row>
    <row r="486" spans="1:45" s="350" customFormat="1" ht="59.25" customHeight="1">
      <c r="A486" s="377">
        <v>6</v>
      </c>
      <c r="B486" s="460" t="s">
        <v>376</v>
      </c>
      <c r="C486" s="460"/>
      <c r="D486" s="460"/>
      <c r="E486" s="460"/>
      <c r="F486" s="460"/>
      <c r="G486" s="460"/>
      <c r="H486" s="460"/>
      <c r="I486" s="460"/>
      <c r="J486" s="460"/>
      <c r="K486" s="460"/>
      <c r="L486" s="460"/>
      <c r="M486" s="460"/>
      <c r="N486" s="460"/>
      <c r="O486" s="460"/>
      <c r="P486" s="460"/>
      <c r="Q486" s="460"/>
      <c r="R486" s="460"/>
      <c r="S486" s="460"/>
      <c r="T486" s="460"/>
      <c r="U486" s="460"/>
      <c r="V486" s="460"/>
      <c r="W486" s="354"/>
      <c r="X486" s="355"/>
      <c r="Y486" s="355"/>
      <c r="Z486" s="355"/>
      <c r="AA486" s="355"/>
      <c r="AB486" s="355"/>
      <c r="AC486" s="355"/>
      <c r="AD486" s="355"/>
      <c r="AE486" s="355"/>
      <c r="AF486" s="355"/>
      <c r="AG486" s="355"/>
      <c r="AH486" s="355"/>
      <c r="AI486" s="355"/>
    </row>
    <row r="487" spans="1:45" s="378" customFormat="1" ht="32.25" customHeight="1">
      <c r="A487" s="352">
        <v>7</v>
      </c>
      <c r="B487" s="452" t="s">
        <v>381</v>
      </c>
      <c r="C487" s="452"/>
      <c r="D487" s="452"/>
      <c r="E487" s="452"/>
      <c r="F487" s="452"/>
      <c r="G487" s="452"/>
      <c r="H487" s="452"/>
      <c r="I487" s="452"/>
      <c r="J487" s="452"/>
      <c r="K487" s="452"/>
      <c r="L487" s="452"/>
      <c r="M487" s="452"/>
      <c r="N487" s="452"/>
      <c r="O487" s="452"/>
      <c r="P487" s="452"/>
      <c r="Q487" s="452"/>
      <c r="R487" s="452"/>
      <c r="S487" s="452"/>
      <c r="T487" s="452"/>
      <c r="U487" s="452"/>
      <c r="V487" s="452"/>
      <c r="W487" s="357"/>
      <c r="X487" s="357"/>
      <c r="Y487" s="357"/>
      <c r="Z487" s="357"/>
      <c r="AA487" s="357"/>
      <c r="AB487" s="357"/>
      <c r="AC487" s="357"/>
      <c r="AD487" s="357"/>
      <c r="AE487" s="357"/>
      <c r="AF487" s="357"/>
      <c r="AG487" s="357"/>
      <c r="AH487" s="357"/>
      <c r="AI487" s="357"/>
      <c r="AJ487" s="353"/>
    </row>
    <row r="488" spans="1:45" s="378" customFormat="1" ht="48.75" customHeight="1">
      <c r="A488" s="352">
        <v>8</v>
      </c>
      <c r="B488" s="451" t="s">
        <v>382</v>
      </c>
      <c r="C488" s="451"/>
      <c r="D488" s="451"/>
      <c r="E488" s="451"/>
      <c r="F488" s="451"/>
      <c r="G488" s="451"/>
      <c r="H488" s="451"/>
      <c r="I488" s="451"/>
      <c r="J488" s="451"/>
      <c r="K488" s="451"/>
      <c r="L488" s="451"/>
      <c r="M488" s="451"/>
      <c r="N488" s="451"/>
      <c r="O488" s="451"/>
      <c r="P488" s="451"/>
      <c r="Q488" s="451"/>
      <c r="R488" s="451"/>
      <c r="S488" s="451"/>
      <c r="T488" s="451"/>
      <c r="U488" s="451"/>
      <c r="V488" s="451"/>
      <c r="W488" s="356"/>
      <c r="X488" s="356"/>
      <c r="Y488" s="356"/>
      <c r="Z488" s="356"/>
      <c r="AA488" s="356"/>
      <c r="AB488" s="356"/>
      <c r="AC488" s="356"/>
      <c r="AD488" s="356"/>
      <c r="AE488" s="356"/>
      <c r="AF488" s="356"/>
      <c r="AG488" s="356"/>
      <c r="AH488" s="356"/>
      <c r="AI488" s="356"/>
      <c r="AJ488" s="353"/>
    </row>
    <row r="489" spans="1:45" s="378" customFormat="1" ht="45" customHeight="1">
      <c r="A489" s="352">
        <v>9</v>
      </c>
      <c r="B489" s="451" t="s">
        <v>383</v>
      </c>
      <c r="C489" s="451"/>
      <c r="D489" s="451"/>
      <c r="E489" s="451"/>
      <c r="F489" s="451"/>
      <c r="G489" s="451"/>
      <c r="H489" s="451"/>
      <c r="I489" s="451"/>
      <c r="J489" s="451"/>
      <c r="K489" s="451"/>
      <c r="L489" s="451"/>
      <c r="M489" s="451"/>
      <c r="N489" s="451"/>
      <c r="O489" s="451"/>
      <c r="P489" s="451"/>
      <c r="Q489" s="451"/>
      <c r="R489" s="451"/>
      <c r="S489" s="451"/>
      <c r="T489" s="451"/>
      <c r="U489" s="451"/>
      <c r="V489" s="451"/>
      <c r="W489" s="356"/>
      <c r="X489" s="356"/>
      <c r="Y489" s="356"/>
      <c r="Z489" s="356"/>
      <c r="AA489" s="356"/>
      <c r="AB489" s="356"/>
      <c r="AC489" s="356"/>
      <c r="AD489" s="356"/>
      <c r="AE489" s="356"/>
      <c r="AF489" s="356"/>
      <c r="AG489" s="356"/>
      <c r="AH489" s="356"/>
      <c r="AI489" s="356"/>
      <c r="AJ489" s="353"/>
    </row>
    <row r="490" spans="1:45" s="378" customFormat="1" ht="36" customHeight="1">
      <c r="A490" s="352">
        <v>10</v>
      </c>
      <c r="B490" s="452" t="s">
        <v>384</v>
      </c>
      <c r="C490" s="452"/>
      <c r="D490" s="452"/>
      <c r="E490" s="452"/>
      <c r="F490" s="452"/>
      <c r="G490" s="452"/>
      <c r="H490" s="452"/>
      <c r="I490" s="452"/>
      <c r="J490" s="452"/>
      <c r="K490" s="452"/>
      <c r="L490" s="452"/>
      <c r="M490" s="452"/>
      <c r="N490" s="452"/>
      <c r="O490" s="452"/>
      <c r="P490" s="452"/>
      <c r="Q490" s="452"/>
      <c r="R490" s="452"/>
      <c r="S490" s="452"/>
      <c r="T490" s="452"/>
      <c r="U490" s="452"/>
      <c r="V490" s="452"/>
      <c r="W490" s="359"/>
      <c r="X490" s="359"/>
      <c r="Y490" s="359"/>
      <c r="Z490" s="359"/>
      <c r="AA490" s="359"/>
      <c r="AB490" s="359"/>
      <c r="AC490" s="359"/>
      <c r="AD490" s="359"/>
      <c r="AE490" s="359"/>
      <c r="AF490" s="359"/>
      <c r="AG490" s="359"/>
      <c r="AH490" s="359"/>
      <c r="AI490" s="359"/>
      <c r="AJ490" s="360"/>
      <c r="AK490" s="379"/>
      <c r="AL490" s="379"/>
      <c r="AM490" s="379"/>
      <c r="AN490" s="379"/>
      <c r="AO490" s="379"/>
      <c r="AP490" s="379"/>
      <c r="AQ490" s="379"/>
      <c r="AR490" s="379"/>
      <c r="AS490" s="379"/>
    </row>
    <row r="491" spans="1:45" s="381" customFormat="1" ht="98.25" customHeight="1">
      <c r="A491" s="358">
        <v>11</v>
      </c>
      <c r="B491" s="461" t="s">
        <v>385</v>
      </c>
      <c r="C491" s="462"/>
      <c r="D491" s="462"/>
      <c r="E491" s="462"/>
      <c r="F491" s="462"/>
      <c r="G491" s="462"/>
      <c r="H491" s="462"/>
      <c r="I491" s="462"/>
      <c r="J491" s="462"/>
      <c r="K491" s="462"/>
      <c r="L491" s="462"/>
      <c r="M491" s="462"/>
      <c r="N491" s="462"/>
      <c r="O491" s="462"/>
      <c r="P491" s="462"/>
      <c r="Q491" s="462"/>
      <c r="R491" s="462"/>
      <c r="S491" s="462"/>
      <c r="T491" s="462"/>
      <c r="U491" s="462"/>
      <c r="V491" s="463"/>
      <c r="W491" s="361"/>
      <c r="X491" s="361"/>
      <c r="Y491" s="361"/>
      <c r="Z491" s="361"/>
      <c r="AA491" s="361"/>
      <c r="AB491" s="361"/>
      <c r="AC491" s="361"/>
      <c r="AD491" s="361"/>
      <c r="AE491" s="361"/>
      <c r="AF491" s="361"/>
      <c r="AG491" s="361"/>
      <c r="AH491" s="361"/>
      <c r="AI491" s="361"/>
      <c r="AJ491" s="380"/>
      <c r="AK491" s="380"/>
      <c r="AL491" s="380"/>
      <c r="AM491" s="380"/>
      <c r="AN491" s="380"/>
      <c r="AO491" s="380"/>
      <c r="AP491" s="380"/>
      <c r="AQ491" s="380"/>
      <c r="AR491" s="380"/>
      <c r="AS491" s="380"/>
    </row>
    <row r="492" spans="1:45" s="381" customFormat="1" ht="32.25" customHeight="1">
      <c r="B492" s="446" t="s">
        <v>389</v>
      </c>
      <c r="C492" s="447"/>
      <c r="D492" s="447"/>
      <c r="E492" s="447"/>
      <c r="F492" s="447"/>
      <c r="G492" s="447"/>
      <c r="H492" s="447"/>
      <c r="I492" s="447"/>
      <c r="J492" s="447"/>
      <c r="K492" s="447"/>
      <c r="L492" s="447"/>
      <c r="M492" s="447"/>
      <c r="N492" s="447"/>
      <c r="O492" s="447"/>
      <c r="P492" s="447"/>
      <c r="Q492" s="447"/>
      <c r="R492" s="447"/>
      <c r="S492" s="447"/>
      <c r="T492" s="447"/>
      <c r="U492" s="447"/>
      <c r="V492" s="448"/>
      <c r="W492" s="380"/>
      <c r="X492" s="382"/>
      <c r="Y492" s="380"/>
      <c r="Z492" s="380"/>
      <c r="AA492" s="380"/>
      <c r="AB492" s="380"/>
      <c r="AC492" s="380"/>
      <c r="AD492" s="380"/>
      <c r="AE492" s="380"/>
      <c r="AF492" s="380"/>
      <c r="AG492" s="380"/>
      <c r="AH492" s="380"/>
      <c r="AI492" s="380"/>
      <c r="AJ492" s="380"/>
      <c r="AK492" s="380"/>
      <c r="AL492" s="380"/>
      <c r="AM492" s="380"/>
      <c r="AN492" s="380"/>
      <c r="AO492" s="380"/>
      <c r="AP492" s="380"/>
      <c r="AQ492" s="380"/>
      <c r="AR492" s="380"/>
      <c r="AS492" s="380"/>
    </row>
    <row r="493" spans="1:45" s="381" customFormat="1" ht="24" customHeight="1">
      <c r="B493" s="446" t="s">
        <v>529</v>
      </c>
      <c r="C493" s="447"/>
      <c r="D493" s="447"/>
      <c r="E493" s="447"/>
      <c r="F493" s="447"/>
      <c r="G493" s="447"/>
      <c r="H493" s="447"/>
      <c r="I493" s="447"/>
      <c r="J493" s="447"/>
      <c r="K493" s="447"/>
      <c r="L493" s="447"/>
      <c r="M493" s="447"/>
      <c r="N493" s="447"/>
      <c r="O493" s="447"/>
      <c r="P493" s="447"/>
      <c r="Q493" s="447"/>
      <c r="R493" s="447"/>
      <c r="S493" s="447"/>
      <c r="T493" s="447"/>
      <c r="U493" s="447"/>
      <c r="V493" s="448"/>
      <c r="W493" s="380"/>
      <c r="X493" s="382"/>
      <c r="Y493" s="380"/>
      <c r="Z493" s="380"/>
      <c r="AA493" s="380"/>
      <c r="AB493" s="380"/>
      <c r="AC493" s="380"/>
      <c r="AD493" s="380"/>
      <c r="AE493" s="380"/>
      <c r="AF493" s="380"/>
      <c r="AG493" s="380"/>
      <c r="AH493" s="380"/>
      <c r="AI493" s="380"/>
      <c r="AJ493" s="380"/>
      <c r="AK493" s="380"/>
      <c r="AL493" s="380"/>
      <c r="AM493" s="380"/>
      <c r="AN493" s="380"/>
      <c r="AO493" s="380"/>
      <c r="AP493" s="380"/>
      <c r="AQ493" s="380"/>
      <c r="AR493" s="380"/>
      <c r="AS493" s="380"/>
    </row>
    <row r="494" spans="1:45" s="381" customFormat="1" ht="24" customHeight="1">
      <c r="B494" s="441" t="s">
        <v>554</v>
      </c>
      <c r="C494" s="442"/>
      <c r="D494" s="442"/>
      <c r="E494" s="442"/>
      <c r="F494" s="442"/>
      <c r="G494" s="442"/>
      <c r="H494" s="442"/>
      <c r="I494" s="442"/>
      <c r="J494" s="442"/>
      <c r="K494" s="442"/>
      <c r="L494" s="442"/>
      <c r="M494" s="442"/>
      <c r="N494" s="442"/>
      <c r="O494" s="442"/>
      <c r="P494" s="442"/>
      <c r="Q494" s="442"/>
      <c r="R494" s="442"/>
      <c r="S494" s="442"/>
      <c r="T494" s="442"/>
      <c r="U494" s="442"/>
      <c r="V494" s="443"/>
      <c r="W494" s="380"/>
      <c r="X494" s="382"/>
      <c r="Y494" s="380"/>
      <c r="Z494" s="380"/>
      <c r="AA494" s="380"/>
      <c r="AB494" s="380"/>
      <c r="AC494" s="380"/>
      <c r="AD494" s="380"/>
      <c r="AE494" s="380"/>
      <c r="AF494" s="380"/>
      <c r="AG494" s="380"/>
      <c r="AH494" s="380"/>
      <c r="AI494" s="380"/>
      <c r="AJ494" s="380"/>
      <c r="AK494" s="380"/>
      <c r="AL494" s="380"/>
      <c r="AM494" s="380"/>
      <c r="AN494" s="380"/>
      <c r="AO494" s="380"/>
      <c r="AP494" s="380"/>
      <c r="AQ494" s="380"/>
      <c r="AR494" s="380"/>
      <c r="AS494" s="380"/>
    </row>
    <row r="495" spans="1:45" s="381" customFormat="1" ht="24" customHeight="1">
      <c r="B495" s="446" t="s">
        <v>390</v>
      </c>
      <c r="C495" s="447"/>
      <c r="D495" s="447"/>
      <c r="E495" s="447"/>
      <c r="F495" s="447"/>
      <c r="G495" s="447"/>
      <c r="H495" s="447"/>
      <c r="I495" s="447"/>
      <c r="J495" s="447"/>
      <c r="K495" s="447"/>
      <c r="L495" s="447"/>
      <c r="M495" s="447"/>
      <c r="N495" s="447"/>
      <c r="O495" s="447"/>
      <c r="P495" s="447"/>
      <c r="Q495" s="447"/>
      <c r="R495" s="447"/>
      <c r="S495" s="447"/>
      <c r="T495" s="447"/>
      <c r="U495" s="447"/>
      <c r="V495" s="448"/>
      <c r="W495" s="380"/>
      <c r="X495" s="382"/>
      <c r="Y495" s="380"/>
      <c r="Z495" s="380"/>
      <c r="AA495" s="380"/>
      <c r="AB495" s="380"/>
      <c r="AC495" s="380"/>
      <c r="AD495" s="380"/>
      <c r="AE495" s="380"/>
      <c r="AF495" s="380"/>
      <c r="AG495" s="380"/>
      <c r="AH495" s="380"/>
      <c r="AI495" s="380"/>
      <c r="AJ495" s="380"/>
      <c r="AK495" s="380"/>
      <c r="AL495" s="380"/>
      <c r="AM495" s="380"/>
      <c r="AN495" s="380"/>
      <c r="AO495" s="380"/>
      <c r="AP495" s="380"/>
      <c r="AQ495" s="380"/>
      <c r="AR495" s="380"/>
      <c r="AS495" s="380"/>
    </row>
    <row r="496" spans="1:45" s="381" customFormat="1" ht="39" customHeight="1">
      <c r="B496" s="446" t="s">
        <v>391</v>
      </c>
      <c r="C496" s="447"/>
      <c r="D496" s="447"/>
      <c r="E496" s="447"/>
      <c r="F496" s="447"/>
      <c r="G496" s="447"/>
      <c r="H496" s="447"/>
      <c r="I496" s="447"/>
      <c r="J496" s="447"/>
      <c r="K496" s="447"/>
      <c r="L496" s="447"/>
      <c r="M496" s="447"/>
      <c r="N496" s="447"/>
      <c r="O496" s="447"/>
      <c r="P496" s="447"/>
      <c r="Q496" s="447"/>
      <c r="R496" s="447"/>
      <c r="S496" s="447"/>
      <c r="T496" s="447"/>
      <c r="U496" s="447"/>
      <c r="V496" s="448"/>
      <c r="W496" s="380"/>
      <c r="X496" s="382"/>
      <c r="Y496" s="380"/>
      <c r="Z496" s="380"/>
      <c r="AA496" s="380"/>
      <c r="AB496" s="380"/>
      <c r="AC496" s="380"/>
      <c r="AD496" s="380"/>
      <c r="AE496" s="380"/>
      <c r="AF496" s="380"/>
      <c r="AG496" s="380"/>
      <c r="AH496" s="380"/>
      <c r="AI496" s="380"/>
      <c r="AJ496" s="380"/>
      <c r="AK496" s="380"/>
      <c r="AL496" s="380"/>
      <c r="AM496" s="380"/>
      <c r="AN496" s="380"/>
      <c r="AO496" s="380"/>
      <c r="AP496" s="380"/>
      <c r="AQ496" s="380"/>
      <c r="AR496" s="380"/>
      <c r="AS496" s="380"/>
    </row>
    <row r="497" spans="2:45" s="381" customFormat="1" ht="30" customHeight="1">
      <c r="B497" s="446" t="s">
        <v>392</v>
      </c>
      <c r="C497" s="447"/>
      <c r="D497" s="447"/>
      <c r="E497" s="447"/>
      <c r="F497" s="447"/>
      <c r="G497" s="447"/>
      <c r="H497" s="447"/>
      <c r="I497" s="447"/>
      <c r="J497" s="447"/>
      <c r="K497" s="447"/>
      <c r="L497" s="447"/>
      <c r="M497" s="447"/>
      <c r="N497" s="447"/>
      <c r="O497" s="447"/>
      <c r="P497" s="447"/>
      <c r="Q497" s="447"/>
      <c r="R497" s="447"/>
      <c r="S497" s="447"/>
      <c r="T497" s="447"/>
      <c r="U497" s="447"/>
      <c r="V497" s="448"/>
      <c r="W497" s="380"/>
      <c r="X497" s="382"/>
      <c r="Y497" s="380"/>
      <c r="Z497" s="380"/>
      <c r="AA497" s="380"/>
      <c r="AB497" s="380"/>
      <c r="AC497" s="380"/>
      <c r="AD497" s="380"/>
      <c r="AE497" s="380"/>
      <c r="AF497" s="380"/>
      <c r="AG497" s="380"/>
      <c r="AH497" s="380"/>
      <c r="AI497" s="380"/>
      <c r="AJ497" s="380"/>
      <c r="AK497" s="380"/>
      <c r="AL497" s="380"/>
      <c r="AM497" s="380"/>
      <c r="AN497" s="380"/>
      <c r="AO497" s="380"/>
      <c r="AP497" s="380"/>
      <c r="AQ497" s="380"/>
      <c r="AR497" s="380"/>
      <c r="AS497" s="380"/>
    </row>
    <row r="498" spans="2:45" s="381" customFormat="1" ht="40.5" customHeight="1">
      <c r="B498" s="441" t="s">
        <v>530</v>
      </c>
      <c r="C498" s="442"/>
      <c r="D498" s="442"/>
      <c r="E498" s="442"/>
      <c r="F498" s="442"/>
      <c r="G498" s="442"/>
      <c r="H498" s="442"/>
      <c r="I498" s="442"/>
      <c r="J498" s="442"/>
      <c r="K498" s="442"/>
      <c r="L498" s="442"/>
      <c r="M498" s="442"/>
      <c r="N498" s="442"/>
      <c r="O498" s="442"/>
      <c r="P498" s="442"/>
      <c r="Q498" s="442"/>
      <c r="R498" s="442"/>
      <c r="S498" s="442"/>
      <c r="T498" s="442"/>
      <c r="U498" s="442"/>
      <c r="V498" s="443"/>
      <c r="W498" s="380"/>
      <c r="X498" s="382"/>
      <c r="Y498" s="380"/>
      <c r="Z498" s="380"/>
      <c r="AA498" s="380"/>
      <c r="AB498" s="380"/>
      <c r="AC498" s="380"/>
      <c r="AD498" s="380"/>
      <c r="AE498" s="380"/>
      <c r="AF498" s="380"/>
      <c r="AG498" s="380"/>
      <c r="AH498" s="380"/>
      <c r="AI498" s="380"/>
      <c r="AJ498" s="380"/>
      <c r="AK498" s="380"/>
      <c r="AL498" s="380"/>
      <c r="AM498" s="380"/>
      <c r="AN498" s="380"/>
      <c r="AO498" s="380"/>
      <c r="AP498" s="380"/>
      <c r="AQ498" s="380"/>
      <c r="AR498" s="380"/>
      <c r="AS498" s="380"/>
    </row>
    <row r="499" spans="2:45" s="381" customFormat="1" ht="23.25" customHeight="1">
      <c r="B499" s="446" t="s">
        <v>593</v>
      </c>
      <c r="C499" s="447"/>
      <c r="D499" s="447"/>
      <c r="E499" s="447"/>
      <c r="F499" s="447"/>
      <c r="G499" s="447"/>
      <c r="H499" s="447"/>
      <c r="I499" s="447"/>
      <c r="J499" s="447"/>
      <c r="K499" s="447"/>
      <c r="L499" s="447"/>
      <c r="M499" s="447"/>
      <c r="N499" s="447"/>
      <c r="O499" s="447"/>
      <c r="P499" s="447"/>
      <c r="Q499" s="447"/>
      <c r="R499" s="447"/>
      <c r="S499" s="447"/>
      <c r="T499" s="447"/>
      <c r="U499" s="447"/>
      <c r="V499" s="448"/>
      <c r="W499" s="380"/>
      <c r="X499" s="382"/>
      <c r="Y499" s="380"/>
      <c r="Z499" s="380"/>
      <c r="AA499" s="380"/>
      <c r="AB499" s="380"/>
      <c r="AC499" s="380"/>
      <c r="AD499" s="380"/>
      <c r="AE499" s="380"/>
      <c r="AF499" s="380"/>
      <c r="AG499" s="380"/>
      <c r="AH499" s="380"/>
      <c r="AI499" s="380"/>
      <c r="AJ499" s="380"/>
      <c r="AK499" s="380"/>
      <c r="AL499" s="380"/>
      <c r="AM499" s="380"/>
      <c r="AN499" s="380"/>
      <c r="AO499" s="380"/>
      <c r="AP499" s="380"/>
      <c r="AQ499" s="380"/>
      <c r="AR499" s="380"/>
      <c r="AS499" s="380"/>
    </row>
    <row r="500" spans="2:45" s="381" customFormat="1" ht="31.5" customHeight="1">
      <c r="B500" s="441" t="s">
        <v>592</v>
      </c>
      <c r="C500" s="442"/>
      <c r="D500" s="442"/>
      <c r="E500" s="442"/>
      <c r="F500" s="442"/>
      <c r="G500" s="442"/>
      <c r="H500" s="442"/>
      <c r="I500" s="442"/>
      <c r="J500" s="442"/>
      <c r="K500" s="442"/>
      <c r="L500" s="442"/>
      <c r="M500" s="442"/>
      <c r="N500" s="442"/>
      <c r="O500" s="442"/>
      <c r="P500" s="442"/>
      <c r="Q500" s="442"/>
      <c r="R500" s="442"/>
      <c r="S500" s="442"/>
      <c r="T500" s="442"/>
      <c r="U500" s="442"/>
      <c r="V500" s="443"/>
      <c r="W500" s="380"/>
      <c r="X500" s="382"/>
      <c r="Y500" s="380"/>
      <c r="Z500" s="380"/>
      <c r="AA500" s="380"/>
      <c r="AB500" s="380"/>
      <c r="AC500" s="380"/>
      <c r="AD500" s="380"/>
      <c r="AE500" s="380"/>
      <c r="AF500" s="380"/>
      <c r="AG500" s="380"/>
      <c r="AH500" s="380"/>
      <c r="AI500" s="380"/>
      <c r="AJ500" s="380"/>
      <c r="AK500" s="380"/>
      <c r="AL500" s="380"/>
      <c r="AM500" s="380"/>
      <c r="AN500" s="380"/>
      <c r="AO500" s="380"/>
      <c r="AP500" s="380"/>
      <c r="AQ500" s="380"/>
      <c r="AR500" s="380"/>
      <c r="AS500" s="380"/>
    </row>
    <row r="501" spans="2:45" s="381" customFormat="1" ht="29.25" customHeight="1">
      <c r="B501" s="446" t="s">
        <v>393</v>
      </c>
      <c r="C501" s="447"/>
      <c r="D501" s="447"/>
      <c r="E501" s="447"/>
      <c r="F501" s="447"/>
      <c r="G501" s="447"/>
      <c r="H501" s="447"/>
      <c r="I501" s="447"/>
      <c r="J501" s="447"/>
      <c r="K501" s="447"/>
      <c r="L501" s="447"/>
      <c r="M501" s="447"/>
      <c r="N501" s="447"/>
      <c r="O501" s="447"/>
      <c r="P501" s="447"/>
      <c r="Q501" s="447"/>
      <c r="R501" s="447"/>
      <c r="S501" s="447"/>
      <c r="T501" s="447"/>
      <c r="U501" s="447"/>
      <c r="V501" s="448"/>
      <c r="W501" s="380"/>
      <c r="X501" s="382"/>
      <c r="Y501" s="380"/>
      <c r="Z501" s="380"/>
      <c r="AA501" s="380"/>
      <c r="AB501" s="380"/>
      <c r="AC501" s="380"/>
      <c r="AD501" s="380"/>
      <c r="AE501" s="380"/>
      <c r="AF501" s="380"/>
      <c r="AG501" s="380"/>
      <c r="AH501" s="380"/>
      <c r="AI501" s="380"/>
      <c r="AJ501" s="380"/>
      <c r="AK501" s="380"/>
      <c r="AL501" s="380"/>
      <c r="AM501" s="380"/>
      <c r="AN501" s="380"/>
      <c r="AO501" s="380"/>
      <c r="AP501" s="380"/>
      <c r="AQ501" s="380"/>
      <c r="AR501" s="380"/>
      <c r="AS501" s="380"/>
    </row>
    <row r="502" spans="2:45" s="381" customFormat="1" ht="19.5" customHeight="1">
      <c r="B502" s="446" t="s">
        <v>394</v>
      </c>
      <c r="C502" s="447"/>
      <c r="D502" s="447"/>
      <c r="E502" s="447"/>
      <c r="F502" s="447"/>
      <c r="G502" s="447"/>
      <c r="H502" s="447"/>
      <c r="I502" s="447"/>
      <c r="J502" s="447"/>
      <c r="K502" s="447"/>
      <c r="L502" s="447"/>
      <c r="M502" s="447"/>
      <c r="N502" s="447"/>
      <c r="O502" s="447"/>
      <c r="P502" s="447"/>
      <c r="Q502" s="447"/>
      <c r="R502" s="447"/>
      <c r="S502" s="447"/>
      <c r="T502" s="447"/>
      <c r="U502" s="447"/>
      <c r="V502" s="448"/>
      <c r="W502" s="380"/>
      <c r="X502" s="382"/>
      <c r="Y502" s="380"/>
      <c r="Z502" s="380"/>
      <c r="AA502" s="380"/>
      <c r="AB502" s="380"/>
      <c r="AC502" s="380"/>
      <c r="AD502" s="380"/>
      <c r="AE502" s="380"/>
      <c r="AF502" s="380"/>
      <c r="AG502" s="380"/>
      <c r="AH502" s="380"/>
      <c r="AI502" s="380"/>
      <c r="AJ502" s="380"/>
      <c r="AK502" s="380"/>
      <c r="AL502" s="380"/>
      <c r="AM502" s="380"/>
      <c r="AN502" s="380"/>
      <c r="AO502" s="380"/>
      <c r="AP502" s="380"/>
      <c r="AQ502" s="380"/>
      <c r="AR502" s="380"/>
      <c r="AS502" s="380"/>
    </row>
    <row r="503" spans="2:45" s="381" customFormat="1" ht="19.5" customHeight="1">
      <c r="B503" s="446" t="s">
        <v>428</v>
      </c>
      <c r="C503" s="447"/>
      <c r="D503" s="447"/>
      <c r="E503" s="447"/>
      <c r="F503" s="447"/>
      <c r="G503" s="447"/>
      <c r="H503" s="447"/>
      <c r="I503" s="447"/>
      <c r="J503" s="447"/>
      <c r="K503" s="447"/>
      <c r="L503" s="447"/>
      <c r="M503" s="447"/>
      <c r="N503" s="447"/>
      <c r="O503" s="447"/>
      <c r="P503" s="447"/>
      <c r="Q503" s="447"/>
      <c r="R503" s="447"/>
      <c r="S503" s="447"/>
      <c r="T503" s="447"/>
      <c r="U503" s="447"/>
      <c r="V503" s="448"/>
      <c r="W503" s="380"/>
      <c r="X503" s="382"/>
      <c r="Y503" s="380"/>
      <c r="Z503" s="380"/>
      <c r="AA503" s="380"/>
      <c r="AB503" s="380"/>
      <c r="AC503" s="380"/>
      <c r="AD503" s="380"/>
      <c r="AE503" s="380"/>
      <c r="AF503" s="380"/>
      <c r="AG503" s="380"/>
      <c r="AH503" s="380"/>
      <c r="AI503" s="380"/>
      <c r="AJ503" s="380"/>
      <c r="AK503" s="380"/>
      <c r="AL503" s="380"/>
      <c r="AM503" s="380"/>
      <c r="AN503" s="380"/>
      <c r="AO503" s="380"/>
      <c r="AP503" s="380"/>
      <c r="AQ503" s="380"/>
      <c r="AR503" s="380"/>
      <c r="AS503" s="380"/>
    </row>
    <row r="504" spans="2:45" s="381" customFormat="1" ht="19.5" customHeight="1">
      <c r="B504" s="446" t="s">
        <v>395</v>
      </c>
      <c r="C504" s="447"/>
      <c r="D504" s="447"/>
      <c r="E504" s="447"/>
      <c r="F504" s="447"/>
      <c r="G504" s="447"/>
      <c r="H504" s="447"/>
      <c r="I504" s="447"/>
      <c r="J504" s="447"/>
      <c r="K504" s="447"/>
      <c r="L504" s="447"/>
      <c r="M504" s="447"/>
      <c r="N504" s="447"/>
      <c r="O504" s="447"/>
      <c r="P504" s="447"/>
      <c r="Q504" s="447"/>
      <c r="R504" s="447"/>
      <c r="S504" s="447"/>
      <c r="T504" s="447"/>
      <c r="U504" s="447"/>
      <c r="V504" s="448"/>
      <c r="W504" s="380"/>
      <c r="X504" s="382"/>
      <c r="Y504" s="380"/>
      <c r="Z504" s="380"/>
      <c r="AA504" s="380"/>
      <c r="AB504" s="380"/>
      <c r="AC504" s="380"/>
      <c r="AD504" s="380"/>
      <c r="AE504" s="380"/>
      <c r="AF504" s="380"/>
      <c r="AG504" s="380"/>
      <c r="AH504" s="380"/>
      <c r="AI504" s="380"/>
      <c r="AJ504" s="380"/>
      <c r="AK504" s="380"/>
      <c r="AL504" s="380"/>
      <c r="AM504" s="380"/>
      <c r="AN504" s="380"/>
      <c r="AO504" s="380"/>
      <c r="AP504" s="380"/>
      <c r="AQ504" s="380"/>
      <c r="AR504" s="380"/>
      <c r="AS504" s="380"/>
    </row>
    <row r="505" spans="2:45" s="381" customFormat="1" ht="52.5" customHeight="1">
      <c r="B505" s="446" t="s">
        <v>396</v>
      </c>
      <c r="C505" s="447"/>
      <c r="D505" s="447"/>
      <c r="E505" s="447"/>
      <c r="F505" s="447"/>
      <c r="G505" s="447"/>
      <c r="H505" s="447"/>
      <c r="I505" s="447"/>
      <c r="J505" s="447"/>
      <c r="K505" s="447"/>
      <c r="L505" s="447"/>
      <c r="M505" s="447"/>
      <c r="N505" s="447"/>
      <c r="O505" s="447"/>
      <c r="P505" s="447"/>
      <c r="Q505" s="447"/>
      <c r="R505" s="447"/>
      <c r="S505" s="447"/>
      <c r="T505" s="447"/>
      <c r="U505" s="447"/>
      <c r="V505" s="448"/>
      <c r="W505" s="380"/>
      <c r="X505" s="382"/>
      <c r="Y505" s="380"/>
      <c r="Z505" s="380"/>
      <c r="AA505" s="380"/>
      <c r="AB505" s="380"/>
      <c r="AC505" s="380"/>
      <c r="AD505" s="380"/>
      <c r="AE505" s="380"/>
      <c r="AF505" s="380"/>
      <c r="AG505" s="380"/>
      <c r="AH505" s="380"/>
      <c r="AI505" s="380"/>
      <c r="AJ505" s="380"/>
      <c r="AK505" s="380"/>
      <c r="AL505" s="380"/>
      <c r="AM505" s="380"/>
      <c r="AN505" s="380"/>
      <c r="AO505" s="380"/>
      <c r="AP505" s="380"/>
      <c r="AQ505" s="380"/>
      <c r="AR505" s="380"/>
      <c r="AS505" s="380"/>
    </row>
    <row r="506" spans="2:45" s="381" customFormat="1" ht="20.25" customHeight="1">
      <c r="B506" s="446" t="s">
        <v>397</v>
      </c>
      <c r="C506" s="447"/>
      <c r="D506" s="447"/>
      <c r="E506" s="447"/>
      <c r="F506" s="447"/>
      <c r="G506" s="447"/>
      <c r="H506" s="447"/>
      <c r="I506" s="447"/>
      <c r="J506" s="447"/>
      <c r="K506" s="447"/>
      <c r="L506" s="447"/>
      <c r="M506" s="447"/>
      <c r="N506" s="447"/>
      <c r="O506" s="447"/>
      <c r="P506" s="447"/>
      <c r="Q506" s="447"/>
      <c r="R506" s="447"/>
      <c r="S506" s="447"/>
      <c r="T506" s="447"/>
      <c r="U506" s="447"/>
      <c r="V506" s="448"/>
      <c r="W506" s="380"/>
      <c r="X506" s="382"/>
      <c r="Y506" s="380"/>
      <c r="Z506" s="380"/>
      <c r="AA506" s="380"/>
      <c r="AB506" s="380"/>
      <c r="AC506" s="380"/>
      <c r="AD506" s="380"/>
      <c r="AE506" s="380"/>
      <c r="AF506" s="380"/>
      <c r="AG506" s="380"/>
      <c r="AH506" s="380"/>
      <c r="AI506" s="380"/>
      <c r="AJ506" s="380"/>
      <c r="AK506" s="380"/>
      <c r="AL506" s="380"/>
      <c r="AM506" s="380"/>
      <c r="AN506" s="380"/>
      <c r="AO506" s="380"/>
      <c r="AP506" s="380"/>
      <c r="AQ506" s="380"/>
      <c r="AR506" s="380"/>
      <c r="AS506" s="380"/>
    </row>
    <row r="507" spans="2:45" s="381" customFormat="1" ht="20.25" customHeight="1">
      <c r="B507" s="446" t="s">
        <v>398</v>
      </c>
      <c r="C507" s="447"/>
      <c r="D507" s="447"/>
      <c r="E507" s="447"/>
      <c r="F507" s="447"/>
      <c r="G507" s="447"/>
      <c r="H507" s="447"/>
      <c r="I507" s="447"/>
      <c r="J507" s="447"/>
      <c r="K507" s="447"/>
      <c r="L507" s="447"/>
      <c r="M507" s="447"/>
      <c r="N507" s="447"/>
      <c r="O507" s="447"/>
      <c r="P507" s="447"/>
      <c r="Q507" s="447"/>
      <c r="R507" s="447"/>
      <c r="S507" s="447"/>
      <c r="T507" s="447"/>
      <c r="U507" s="447"/>
      <c r="V507" s="448"/>
      <c r="W507" s="380"/>
      <c r="X507" s="382"/>
      <c r="Y507" s="380"/>
      <c r="Z507" s="380"/>
      <c r="AA507" s="380"/>
      <c r="AB507" s="380"/>
      <c r="AC507" s="380"/>
      <c r="AD507" s="380"/>
      <c r="AE507" s="380"/>
      <c r="AF507" s="380"/>
      <c r="AG507" s="380"/>
      <c r="AH507" s="380"/>
      <c r="AI507" s="380"/>
      <c r="AJ507" s="380"/>
      <c r="AK507" s="380"/>
      <c r="AL507" s="380"/>
      <c r="AM507" s="380"/>
      <c r="AN507" s="380"/>
      <c r="AO507" s="380"/>
      <c r="AP507" s="380"/>
      <c r="AQ507" s="380"/>
      <c r="AR507" s="380"/>
      <c r="AS507" s="380"/>
    </row>
    <row r="508" spans="2:45" s="381" customFormat="1" ht="20.25" customHeight="1">
      <c r="B508" s="446" t="s">
        <v>399</v>
      </c>
      <c r="C508" s="447"/>
      <c r="D508" s="447"/>
      <c r="E508" s="447"/>
      <c r="F508" s="447"/>
      <c r="G508" s="447"/>
      <c r="H508" s="447"/>
      <c r="I508" s="447"/>
      <c r="J508" s="447"/>
      <c r="K508" s="447"/>
      <c r="L508" s="447"/>
      <c r="M508" s="447"/>
      <c r="N508" s="447"/>
      <c r="O508" s="447"/>
      <c r="P508" s="447"/>
      <c r="Q508" s="447"/>
      <c r="R508" s="447"/>
      <c r="S508" s="447"/>
      <c r="T508" s="447"/>
      <c r="U508" s="447"/>
      <c r="V508" s="448"/>
      <c r="W508" s="380"/>
      <c r="X508" s="382"/>
      <c r="Y508" s="380"/>
      <c r="Z508" s="380"/>
      <c r="AA508" s="380"/>
      <c r="AB508" s="380"/>
      <c r="AC508" s="380"/>
      <c r="AD508" s="380"/>
      <c r="AE508" s="380"/>
      <c r="AF508" s="380"/>
      <c r="AG508" s="380"/>
      <c r="AH508" s="380"/>
      <c r="AI508" s="380"/>
      <c r="AJ508" s="380"/>
      <c r="AK508" s="380"/>
      <c r="AL508" s="380"/>
      <c r="AM508" s="380"/>
      <c r="AN508" s="380"/>
      <c r="AO508" s="380"/>
      <c r="AP508" s="380"/>
      <c r="AQ508" s="380"/>
      <c r="AR508" s="380"/>
      <c r="AS508" s="380"/>
    </row>
    <row r="509" spans="2:45" s="381" customFormat="1" ht="20.25" customHeight="1">
      <c r="B509" s="446" t="s">
        <v>400</v>
      </c>
      <c r="C509" s="447"/>
      <c r="D509" s="447"/>
      <c r="E509" s="447"/>
      <c r="F509" s="447"/>
      <c r="G509" s="447"/>
      <c r="H509" s="447"/>
      <c r="I509" s="447"/>
      <c r="J509" s="447"/>
      <c r="K509" s="447"/>
      <c r="L509" s="447"/>
      <c r="M509" s="447"/>
      <c r="N509" s="447"/>
      <c r="O509" s="447"/>
      <c r="P509" s="447"/>
      <c r="Q509" s="447"/>
      <c r="R509" s="447"/>
      <c r="S509" s="447"/>
      <c r="T509" s="447"/>
      <c r="U509" s="447"/>
      <c r="V509" s="448"/>
      <c r="W509" s="380"/>
      <c r="X509" s="382"/>
      <c r="Y509" s="380"/>
      <c r="Z509" s="380"/>
      <c r="AA509" s="380"/>
      <c r="AB509" s="380"/>
      <c r="AC509" s="380"/>
      <c r="AD509" s="380"/>
      <c r="AE509" s="380"/>
      <c r="AF509" s="380"/>
      <c r="AG509" s="380"/>
      <c r="AH509" s="380"/>
      <c r="AI509" s="380"/>
      <c r="AJ509" s="380"/>
      <c r="AK509" s="380"/>
      <c r="AL509" s="380"/>
      <c r="AM509" s="380"/>
      <c r="AN509" s="380"/>
      <c r="AO509" s="380"/>
      <c r="AP509" s="380"/>
      <c r="AQ509" s="380"/>
      <c r="AR509" s="380"/>
      <c r="AS509" s="380"/>
    </row>
    <row r="510" spans="2:45" s="381" customFormat="1" ht="38.25" customHeight="1">
      <c r="B510" s="449" t="s">
        <v>386</v>
      </c>
      <c r="C510" s="447"/>
      <c r="D510" s="447"/>
      <c r="E510" s="447"/>
      <c r="F510" s="447"/>
      <c r="G510" s="447"/>
      <c r="H510" s="447"/>
      <c r="I510" s="447"/>
      <c r="J510" s="447"/>
      <c r="K510" s="447"/>
      <c r="L510" s="447"/>
      <c r="M510" s="447"/>
      <c r="N510" s="447"/>
      <c r="O510" s="447"/>
      <c r="P510" s="447"/>
      <c r="Q510" s="447"/>
      <c r="R510" s="447"/>
      <c r="S510" s="447"/>
      <c r="T510" s="447"/>
      <c r="U510" s="447"/>
      <c r="V510" s="448"/>
      <c r="W510" s="380"/>
      <c r="X510" s="382"/>
      <c r="Y510" s="380"/>
      <c r="Z510" s="380"/>
      <c r="AA510" s="380"/>
      <c r="AB510" s="380"/>
      <c r="AC510" s="380"/>
      <c r="AD510" s="380"/>
      <c r="AE510" s="380"/>
      <c r="AF510" s="380"/>
      <c r="AG510" s="380"/>
      <c r="AH510" s="380"/>
      <c r="AI510" s="380"/>
      <c r="AJ510" s="380"/>
      <c r="AK510" s="380"/>
      <c r="AL510" s="380"/>
      <c r="AM510" s="380"/>
      <c r="AN510" s="380"/>
      <c r="AO510" s="380"/>
      <c r="AP510" s="380"/>
      <c r="AQ510" s="380"/>
      <c r="AR510" s="380"/>
      <c r="AS510" s="380"/>
    </row>
    <row r="511" spans="2:45" s="381" customFormat="1" ht="39.75" customHeight="1">
      <c r="B511" s="449" t="s">
        <v>406</v>
      </c>
      <c r="C511" s="447"/>
      <c r="D511" s="447"/>
      <c r="E511" s="447"/>
      <c r="F511" s="447"/>
      <c r="G511" s="447"/>
      <c r="H511" s="447"/>
      <c r="I511" s="447"/>
      <c r="J511" s="447"/>
      <c r="K511" s="447"/>
      <c r="L511" s="447"/>
      <c r="M511" s="447"/>
      <c r="N511" s="447"/>
      <c r="O511" s="447"/>
      <c r="P511" s="447"/>
      <c r="Q511" s="447"/>
      <c r="R511" s="447"/>
      <c r="S511" s="447"/>
      <c r="T511" s="447"/>
      <c r="U511" s="447"/>
      <c r="V511" s="448"/>
      <c r="W511" s="380"/>
      <c r="X511" s="382"/>
      <c r="Y511" s="380"/>
      <c r="Z511" s="380"/>
      <c r="AA511" s="380"/>
      <c r="AB511" s="380"/>
      <c r="AC511" s="380"/>
      <c r="AD511" s="380"/>
      <c r="AE511" s="380"/>
      <c r="AF511" s="380"/>
      <c r="AG511" s="380"/>
      <c r="AH511" s="380"/>
      <c r="AI511" s="380"/>
      <c r="AJ511" s="380"/>
      <c r="AK511" s="380"/>
      <c r="AL511" s="380"/>
      <c r="AM511" s="380"/>
      <c r="AN511" s="380"/>
      <c r="AO511" s="380"/>
      <c r="AP511" s="380"/>
      <c r="AQ511" s="380"/>
      <c r="AR511" s="380"/>
      <c r="AS511" s="380"/>
    </row>
    <row r="512" spans="2:45" s="381" customFormat="1" ht="72.75" customHeight="1">
      <c r="B512" s="446" t="s">
        <v>407</v>
      </c>
      <c r="C512" s="447"/>
      <c r="D512" s="447"/>
      <c r="E512" s="447"/>
      <c r="F512" s="447"/>
      <c r="G512" s="447"/>
      <c r="H512" s="447"/>
      <c r="I512" s="447"/>
      <c r="J512" s="447"/>
      <c r="K512" s="447"/>
      <c r="L512" s="447"/>
      <c r="M512" s="447"/>
      <c r="N512" s="447"/>
      <c r="O512" s="447"/>
      <c r="P512" s="447"/>
      <c r="Q512" s="447"/>
      <c r="R512" s="447"/>
      <c r="S512" s="447"/>
      <c r="T512" s="447"/>
      <c r="U512" s="447"/>
      <c r="V512" s="448"/>
      <c r="W512" s="380"/>
      <c r="X512" s="382"/>
      <c r="Y512" s="380"/>
      <c r="Z512" s="380"/>
      <c r="AA512" s="380"/>
      <c r="AB512" s="380"/>
      <c r="AC512" s="380"/>
      <c r="AD512" s="380"/>
      <c r="AE512" s="380"/>
      <c r="AF512" s="380"/>
      <c r="AG512" s="380"/>
      <c r="AH512" s="380"/>
      <c r="AI512" s="380"/>
      <c r="AJ512" s="380"/>
      <c r="AK512" s="380"/>
      <c r="AL512" s="380"/>
      <c r="AM512" s="380"/>
      <c r="AN512" s="380"/>
      <c r="AO512" s="380"/>
      <c r="AP512" s="380"/>
      <c r="AQ512" s="380"/>
      <c r="AR512" s="380"/>
      <c r="AS512" s="380"/>
    </row>
    <row r="513" spans="1:45" s="381" customFormat="1" ht="317.25" customHeight="1">
      <c r="B513" s="454" t="s">
        <v>401</v>
      </c>
      <c r="C513" s="455"/>
      <c r="D513" s="455"/>
      <c r="E513" s="455"/>
      <c r="F513" s="455"/>
      <c r="G513" s="455"/>
      <c r="H513" s="455"/>
      <c r="I513" s="455"/>
      <c r="J513" s="455"/>
      <c r="K513" s="455"/>
      <c r="L513" s="455"/>
      <c r="M513" s="455"/>
      <c r="N513" s="455"/>
      <c r="O513" s="455"/>
      <c r="P513" s="455"/>
      <c r="Q513" s="455"/>
      <c r="R513" s="455"/>
      <c r="S513" s="455"/>
      <c r="T513" s="455"/>
      <c r="U513" s="455"/>
      <c r="V513" s="456"/>
      <c r="W513" s="361"/>
      <c r="X513" s="361"/>
      <c r="Y513" s="361"/>
      <c r="Z513" s="361"/>
      <c r="AA513" s="361"/>
      <c r="AB513" s="361"/>
      <c r="AC513" s="361"/>
      <c r="AD513" s="361"/>
      <c r="AE513" s="361"/>
      <c r="AF513" s="361"/>
      <c r="AG513" s="361"/>
      <c r="AH513" s="361"/>
      <c r="AI513" s="361"/>
      <c r="AJ513" s="380"/>
      <c r="AK513" s="380"/>
      <c r="AL513" s="380"/>
      <c r="AM513" s="380"/>
      <c r="AN513" s="380"/>
      <c r="AO513" s="380"/>
      <c r="AP513" s="380"/>
      <c r="AQ513" s="380"/>
      <c r="AR513" s="380"/>
      <c r="AS513" s="380"/>
    </row>
    <row r="514" spans="1:45" s="381" customFormat="1" ht="240" customHeight="1">
      <c r="B514" s="457" t="s">
        <v>387</v>
      </c>
      <c r="C514" s="458"/>
      <c r="D514" s="458"/>
      <c r="E514" s="458"/>
      <c r="F514" s="458"/>
      <c r="G514" s="458"/>
      <c r="H514" s="458"/>
      <c r="I514" s="458"/>
      <c r="J514" s="458"/>
      <c r="K514" s="458"/>
      <c r="L514" s="458"/>
      <c r="M514" s="458"/>
      <c r="N514" s="458"/>
      <c r="O514" s="458"/>
      <c r="P514" s="458"/>
      <c r="Q514" s="458"/>
      <c r="R514" s="458"/>
      <c r="S514" s="458"/>
      <c r="T514" s="458"/>
      <c r="U514" s="458"/>
      <c r="V514" s="459"/>
      <c r="X514" s="383"/>
    </row>
    <row r="515" spans="1:45" s="381" customFormat="1" ht="15.75">
      <c r="C515" s="384"/>
      <c r="D515" s="384"/>
      <c r="E515" s="385"/>
      <c r="F515" s="385"/>
      <c r="G515" s="385"/>
      <c r="H515" s="385"/>
      <c r="I515" s="385"/>
      <c r="J515" s="385"/>
      <c r="K515" s="385"/>
      <c r="L515" s="385"/>
      <c r="M515" s="385"/>
      <c r="N515" s="385"/>
      <c r="O515" s="385"/>
      <c r="P515" s="386"/>
      <c r="Q515" s="387"/>
      <c r="R515" s="388"/>
      <c r="S515" s="388"/>
      <c r="T515" s="388"/>
      <c r="U515" s="389"/>
      <c r="X515" s="383"/>
    </row>
    <row r="516" spans="1:45" s="392" customFormat="1" ht="61.5" customHeight="1">
      <c r="A516" s="363">
        <v>12</v>
      </c>
      <c r="B516" s="453" t="s">
        <v>388</v>
      </c>
      <c r="C516" s="453"/>
      <c r="D516" s="453"/>
      <c r="E516" s="453"/>
      <c r="F516" s="453"/>
      <c r="G516" s="453"/>
      <c r="H516" s="453"/>
      <c r="I516" s="453"/>
      <c r="J516" s="453"/>
      <c r="K516" s="453"/>
      <c r="L516" s="453"/>
      <c r="M516" s="453"/>
      <c r="N516" s="453"/>
      <c r="O516" s="453"/>
      <c r="P516" s="453"/>
      <c r="Q516" s="453"/>
      <c r="R516" s="453"/>
      <c r="S516" s="453"/>
      <c r="T516" s="453"/>
      <c r="U516" s="453"/>
      <c r="V516" s="362"/>
      <c r="W516" s="362"/>
      <c r="X516" s="362"/>
      <c r="Y516" s="390"/>
      <c r="Z516" s="391"/>
      <c r="AA516" s="391"/>
      <c r="AB516" s="391"/>
      <c r="AC516" s="391"/>
    </row>
    <row r="517" spans="1:45" s="381" customFormat="1" ht="15.75">
      <c r="A517" s="393"/>
      <c r="C517" s="384"/>
      <c r="D517" s="384"/>
      <c r="E517" s="385"/>
      <c r="F517" s="385"/>
      <c r="G517" s="385"/>
      <c r="H517" s="385"/>
      <c r="I517" s="385"/>
      <c r="J517" s="385"/>
      <c r="K517" s="385"/>
      <c r="L517" s="385"/>
      <c r="M517" s="385"/>
      <c r="N517" s="385"/>
      <c r="O517" s="385"/>
      <c r="P517" s="386"/>
      <c r="Q517" s="387"/>
      <c r="R517" s="388"/>
      <c r="S517" s="388"/>
      <c r="T517" s="388"/>
      <c r="U517" s="389"/>
      <c r="X517" s="383"/>
    </row>
    <row r="518" spans="1:45" s="381" customFormat="1" ht="60" customHeight="1">
      <c r="A518" s="394">
        <v>13</v>
      </c>
      <c r="B518" s="444" t="s">
        <v>377</v>
      </c>
      <c r="C518" s="444"/>
      <c r="D518" s="444"/>
      <c r="E518" s="444"/>
      <c r="F518" s="444"/>
      <c r="G518" s="444"/>
      <c r="H518" s="444"/>
      <c r="I518" s="444"/>
      <c r="J518" s="444"/>
      <c r="K518" s="444"/>
      <c r="L518" s="444"/>
      <c r="M518" s="444"/>
      <c r="N518" s="444"/>
      <c r="O518" s="444"/>
      <c r="P518" s="444"/>
      <c r="Q518" s="444"/>
      <c r="R518" s="444"/>
      <c r="S518" s="444"/>
      <c r="T518" s="444"/>
      <c r="U518" s="444"/>
      <c r="W518" s="383"/>
    </row>
    <row r="519" spans="1:45" s="381" customFormat="1" ht="45" customHeight="1">
      <c r="A519" s="394">
        <v>14</v>
      </c>
      <c r="B519" s="444" t="s">
        <v>378</v>
      </c>
      <c r="C519" s="444"/>
      <c r="D519" s="444"/>
      <c r="E519" s="444"/>
      <c r="F519" s="444"/>
      <c r="G519" s="444"/>
      <c r="H519" s="444"/>
      <c r="I519" s="444"/>
      <c r="J519" s="444"/>
      <c r="K519" s="444"/>
      <c r="L519" s="444"/>
      <c r="M519" s="444"/>
      <c r="N519" s="444"/>
      <c r="O519" s="444"/>
      <c r="P519" s="444"/>
      <c r="Q519" s="444"/>
      <c r="R519" s="444"/>
      <c r="S519" s="444"/>
      <c r="T519" s="444"/>
      <c r="U519" s="444"/>
      <c r="W519" s="383"/>
    </row>
    <row r="520" spans="1:45" s="381" customFormat="1" ht="45" customHeight="1">
      <c r="A520" s="394">
        <v>15</v>
      </c>
      <c r="B520" s="445" t="s">
        <v>379</v>
      </c>
      <c r="C520" s="445"/>
      <c r="D520" s="445"/>
      <c r="E520" s="445"/>
      <c r="F520" s="445"/>
      <c r="G520" s="445"/>
      <c r="H520" s="445"/>
      <c r="I520" s="445"/>
      <c r="J520" s="445"/>
      <c r="K520" s="445"/>
      <c r="L520" s="445"/>
      <c r="M520" s="445"/>
      <c r="N520" s="445"/>
      <c r="O520" s="445"/>
      <c r="P520" s="445"/>
      <c r="Q520" s="445"/>
      <c r="R520" s="445"/>
      <c r="S520" s="445"/>
      <c r="T520" s="445"/>
      <c r="U520" s="445"/>
      <c r="W520" s="383"/>
    </row>
    <row r="521" spans="1:45" s="381" customFormat="1" ht="45" customHeight="1">
      <c r="A521" s="377">
        <v>16</v>
      </c>
      <c r="B521" s="444" t="s">
        <v>380</v>
      </c>
      <c r="C521" s="444"/>
      <c r="D521" s="444"/>
      <c r="E521" s="444"/>
      <c r="F521" s="444"/>
      <c r="G521" s="444"/>
      <c r="H521" s="444"/>
      <c r="I521" s="444"/>
      <c r="J521" s="444"/>
      <c r="K521" s="444"/>
      <c r="L521" s="444"/>
      <c r="M521" s="444"/>
      <c r="N521" s="444"/>
      <c r="O521" s="444"/>
      <c r="P521" s="444"/>
      <c r="Q521" s="444"/>
      <c r="R521" s="444"/>
      <c r="S521" s="444"/>
      <c r="T521" s="444"/>
      <c r="U521" s="444"/>
      <c r="W521" s="383"/>
    </row>
    <row r="522" spans="1:45" s="381" customFormat="1" ht="32.25" customHeight="1">
      <c r="A522" s="377"/>
      <c r="B522" s="395"/>
      <c r="C522" s="395"/>
      <c r="D522" s="395"/>
      <c r="E522" s="395"/>
      <c r="F522" s="395"/>
      <c r="G522" s="395"/>
      <c r="H522" s="395"/>
      <c r="I522" s="395"/>
      <c r="J522" s="395"/>
      <c r="K522" s="395"/>
      <c r="L522" s="395"/>
      <c r="M522" s="395"/>
      <c r="N522" s="395"/>
      <c r="O522" s="395"/>
      <c r="P522" s="395"/>
      <c r="Q522" s="395"/>
      <c r="R522" s="395"/>
      <c r="S522" s="395"/>
      <c r="T522" s="395"/>
      <c r="U522" s="395"/>
      <c r="W522" s="383"/>
    </row>
    <row r="523" spans="1:45" s="381" customFormat="1" ht="26.25" customHeight="1">
      <c r="B523" s="396"/>
      <c r="C523" s="350"/>
      <c r="D523" s="350"/>
      <c r="E523" s="385"/>
      <c r="F523" s="385"/>
      <c r="G523" s="385"/>
      <c r="H523" s="385"/>
      <c r="I523" s="385"/>
      <c r="J523" s="385"/>
      <c r="K523" s="385"/>
      <c r="L523" s="385"/>
      <c r="M523" s="385"/>
      <c r="N523" s="385"/>
      <c r="O523" s="386"/>
      <c r="P523" s="387"/>
      <c r="Q523" s="388"/>
      <c r="R523" s="388"/>
      <c r="S523" s="388"/>
      <c r="T523" s="389"/>
      <c r="W523" s="383"/>
    </row>
    <row r="524" spans="1:45" s="381" customFormat="1" ht="30" customHeight="1">
      <c r="B524" s="396"/>
      <c r="C524" s="350"/>
      <c r="D524" s="350"/>
      <c r="E524" s="385"/>
      <c r="F524" s="385"/>
      <c r="G524" s="385"/>
      <c r="H524" s="385"/>
      <c r="I524" s="385"/>
      <c r="J524" s="385"/>
      <c r="K524" s="385"/>
      <c r="L524" s="385"/>
      <c r="M524" s="385"/>
      <c r="N524" s="385"/>
      <c r="O524" s="386"/>
      <c r="P524" s="387"/>
      <c r="Q524" s="388"/>
      <c r="R524" s="388"/>
      <c r="S524" s="388"/>
      <c r="T524" s="389"/>
      <c r="W524" s="383"/>
    </row>
    <row r="525" spans="1:45" s="381" customFormat="1" ht="30" customHeight="1">
      <c r="B525" s="396"/>
      <c r="C525" s="350"/>
      <c r="D525" s="350"/>
      <c r="E525" s="385"/>
      <c r="F525" s="385"/>
      <c r="G525" s="385"/>
      <c r="H525" s="385"/>
      <c r="I525" s="385"/>
      <c r="J525" s="385"/>
      <c r="K525" s="385"/>
      <c r="L525" s="385"/>
      <c r="M525" s="385"/>
      <c r="N525" s="385"/>
      <c r="O525" s="386"/>
      <c r="P525" s="387"/>
      <c r="Q525" s="388"/>
      <c r="R525" s="388"/>
      <c r="S525" s="388"/>
      <c r="T525" s="389"/>
      <c r="W525" s="383"/>
    </row>
    <row r="526" spans="1:45" s="381" customFormat="1" ht="30" customHeight="1">
      <c r="C526" s="384"/>
      <c r="D526" s="385"/>
      <c r="E526" s="385"/>
      <c r="F526" s="385"/>
      <c r="G526" s="385"/>
      <c r="H526" s="385"/>
      <c r="I526" s="385"/>
      <c r="J526" s="385"/>
      <c r="K526" s="385"/>
      <c r="L526" s="385"/>
      <c r="M526" s="385"/>
      <c r="N526" s="385"/>
      <c r="O526" s="386"/>
      <c r="P526" s="387"/>
      <c r="Q526" s="388"/>
      <c r="R526" s="388"/>
      <c r="S526" s="388"/>
      <c r="T526" s="389"/>
      <c r="W526" s="383"/>
    </row>
    <row r="527" spans="1:45" s="381" customFormat="1" ht="47.25" customHeight="1">
      <c r="B527" s="450"/>
      <c r="C527" s="450"/>
      <c r="D527" s="450"/>
      <c r="E527" s="385"/>
      <c r="F527" s="385"/>
      <c r="G527" s="385"/>
      <c r="H527" s="385"/>
      <c r="I527" s="385"/>
      <c r="J527" s="385"/>
      <c r="K527" s="385"/>
      <c r="L527" s="385"/>
      <c r="M527" s="385"/>
      <c r="N527" s="385"/>
      <c r="O527" s="386"/>
      <c r="P527" s="387"/>
      <c r="Q527" s="388"/>
      <c r="R527" s="388"/>
      <c r="S527" s="388"/>
      <c r="T527" s="389"/>
      <c r="W527" s="383"/>
    </row>
    <row r="528" spans="1:45" s="381" customFormat="1" ht="15.75">
      <c r="C528" s="384"/>
      <c r="D528" s="384"/>
      <c r="E528" s="385"/>
      <c r="F528" s="385"/>
      <c r="G528" s="385"/>
      <c r="H528" s="385"/>
      <c r="I528" s="385"/>
      <c r="J528" s="385"/>
      <c r="K528" s="385"/>
      <c r="L528" s="385"/>
      <c r="M528" s="385"/>
      <c r="N528" s="385"/>
      <c r="O528" s="385"/>
      <c r="P528" s="386"/>
      <c r="Q528" s="387"/>
      <c r="R528" s="388"/>
      <c r="S528" s="388"/>
      <c r="T528" s="388"/>
      <c r="U528" s="389"/>
      <c r="X528" s="383"/>
    </row>
    <row r="529" spans="3:24" s="381" customFormat="1" ht="15.75">
      <c r="C529" s="384"/>
      <c r="D529" s="384"/>
      <c r="E529" s="385"/>
      <c r="F529" s="385"/>
      <c r="G529" s="385"/>
      <c r="H529" s="385"/>
      <c r="I529" s="385"/>
      <c r="J529" s="385"/>
      <c r="K529" s="385"/>
      <c r="L529" s="385"/>
      <c r="M529" s="385"/>
      <c r="N529" s="385"/>
      <c r="O529" s="385"/>
      <c r="P529" s="386"/>
      <c r="Q529" s="387"/>
      <c r="R529" s="388"/>
      <c r="S529" s="388"/>
      <c r="T529" s="388"/>
      <c r="U529" s="389"/>
      <c r="X529" s="383"/>
    </row>
    <row r="530" spans="3:24" s="381" customFormat="1" ht="15.75">
      <c r="C530" s="384"/>
      <c r="D530" s="384"/>
      <c r="E530" s="385"/>
      <c r="F530" s="385"/>
      <c r="G530" s="385"/>
      <c r="H530" s="385"/>
      <c r="I530" s="385"/>
      <c r="J530" s="385"/>
      <c r="K530" s="385"/>
      <c r="L530" s="385"/>
      <c r="M530" s="385"/>
      <c r="N530" s="385"/>
      <c r="O530" s="385"/>
      <c r="P530" s="386"/>
      <c r="Q530" s="387"/>
      <c r="R530" s="388"/>
      <c r="S530" s="388"/>
      <c r="T530" s="388"/>
      <c r="U530" s="389"/>
      <c r="X530" s="383"/>
    </row>
    <row r="531" spans="3:24" s="381" customFormat="1" ht="15.75">
      <c r="C531" s="384"/>
      <c r="D531" s="384"/>
      <c r="E531" s="385"/>
      <c r="F531" s="385"/>
      <c r="G531" s="385"/>
      <c r="H531" s="385"/>
      <c r="I531" s="385"/>
      <c r="J531" s="385"/>
      <c r="K531" s="385"/>
      <c r="L531" s="385"/>
      <c r="M531" s="385"/>
      <c r="N531" s="385"/>
      <c r="O531" s="385"/>
      <c r="P531" s="386"/>
      <c r="Q531" s="387"/>
      <c r="R531" s="388"/>
      <c r="S531" s="388"/>
      <c r="T531" s="388"/>
      <c r="U531" s="389"/>
      <c r="X531" s="383"/>
    </row>
    <row r="532" spans="3:24" s="381" customFormat="1" ht="15.75">
      <c r="C532" s="384"/>
      <c r="D532" s="384"/>
      <c r="E532" s="385"/>
      <c r="F532" s="385"/>
      <c r="G532" s="385"/>
      <c r="H532" s="385"/>
      <c r="I532" s="385"/>
      <c r="J532" s="385"/>
      <c r="K532" s="385"/>
      <c r="L532" s="385"/>
      <c r="M532" s="385"/>
      <c r="N532" s="385"/>
      <c r="O532" s="385"/>
      <c r="P532" s="386"/>
      <c r="Q532" s="387"/>
      <c r="R532" s="388"/>
      <c r="S532" s="388"/>
      <c r="T532" s="388"/>
      <c r="U532" s="389"/>
      <c r="X532" s="383"/>
    </row>
    <row r="533" spans="3:24" s="381" customFormat="1" ht="15.75">
      <c r="C533" s="384"/>
      <c r="D533" s="384"/>
      <c r="E533" s="385"/>
      <c r="F533" s="385"/>
      <c r="G533" s="385"/>
      <c r="H533" s="385"/>
      <c r="I533" s="385"/>
      <c r="J533" s="385"/>
      <c r="K533" s="385"/>
      <c r="L533" s="385"/>
      <c r="M533" s="385"/>
      <c r="N533" s="385"/>
      <c r="O533" s="385"/>
      <c r="P533" s="386"/>
      <c r="Q533" s="387"/>
      <c r="R533" s="388"/>
      <c r="S533" s="388"/>
      <c r="T533" s="388"/>
      <c r="U533" s="389"/>
      <c r="X533" s="383"/>
    </row>
    <row r="534" spans="3:24" s="381" customFormat="1" ht="15.75">
      <c r="C534" s="384"/>
      <c r="D534" s="384"/>
      <c r="E534" s="385"/>
      <c r="F534" s="385"/>
      <c r="G534" s="385"/>
      <c r="H534" s="385"/>
      <c r="I534" s="385"/>
      <c r="J534" s="385"/>
      <c r="K534" s="385"/>
      <c r="L534" s="385"/>
      <c r="M534" s="385"/>
      <c r="N534" s="385"/>
      <c r="O534" s="385"/>
      <c r="P534" s="386"/>
      <c r="Q534" s="387"/>
      <c r="R534" s="388"/>
      <c r="S534" s="388"/>
      <c r="T534" s="388"/>
      <c r="U534" s="389"/>
      <c r="X534" s="383"/>
    </row>
    <row r="535" spans="3:24" s="381" customFormat="1" ht="15.75">
      <c r="C535" s="384"/>
      <c r="D535" s="384"/>
      <c r="E535" s="385"/>
      <c r="F535" s="385"/>
      <c r="G535" s="385"/>
      <c r="H535" s="385"/>
      <c r="I535" s="385"/>
      <c r="J535" s="385"/>
      <c r="K535" s="385"/>
      <c r="L535" s="385"/>
      <c r="M535" s="385"/>
      <c r="N535" s="385"/>
      <c r="O535" s="385"/>
      <c r="P535" s="386"/>
      <c r="Q535" s="387"/>
      <c r="R535" s="388"/>
      <c r="S535" s="388"/>
      <c r="T535" s="388"/>
      <c r="U535" s="389"/>
      <c r="X535" s="383"/>
    </row>
    <row r="536" spans="3:24" s="381" customFormat="1" ht="15.75">
      <c r="C536" s="384"/>
      <c r="D536" s="384"/>
      <c r="E536" s="385"/>
      <c r="F536" s="385"/>
      <c r="G536" s="385"/>
      <c r="H536" s="385"/>
      <c r="I536" s="385"/>
      <c r="J536" s="385"/>
      <c r="K536" s="385"/>
      <c r="L536" s="385"/>
      <c r="M536" s="385"/>
      <c r="N536" s="385"/>
      <c r="O536" s="385"/>
      <c r="P536" s="386"/>
      <c r="Q536" s="387"/>
      <c r="R536" s="388"/>
      <c r="S536" s="388"/>
      <c r="T536" s="388"/>
      <c r="U536" s="389"/>
      <c r="X536" s="383"/>
    </row>
    <row r="537" spans="3:24" s="381" customFormat="1" ht="15.75">
      <c r="C537" s="384"/>
      <c r="D537" s="384"/>
      <c r="E537" s="385"/>
      <c r="F537" s="385"/>
      <c r="G537" s="385"/>
      <c r="H537" s="385"/>
      <c r="I537" s="385"/>
      <c r="J537" s="385"/>
      <c r="K537" s="385"/>
      <c r="L537" s="385"/>
      <c r="M537" s="385"/>
      <c r="N537" s="385"/>
      <c r="O537" s="385"/>
      <c r="P537" s="386"/>
      <c r="Q537" s="387"/>
      <c r="R537" s="388"/>
      <c r="S537" s="388"/>
      <c r="T537" s="388"/>
      <c r="U537" s="389"/>
      <c r="X537" s="383"/>
    </row>
    <row r="538" spans="3:24" s="381" customFormat="1" ht="15.75">
      <c r="C538" s="384"/>
      <c r="D538" s="384"/>
      <c r="E538" s="385"/>
      <c r="F538" s="385"/>
      <c r="G538" s="385"/>
      <c r="H538" s="385"/>
      <c r="I538" s="385"/>
      <c r="J538" s="385"/>
      <c r="K538" s="385"/>
      <c r="L538" s="385"/>
      <c r="M538" s="385"/>
      <c r="N538" s="385"/>
      <c r="O538" s="385"/>
      <c r="P538" s="386"/>
      <c r="Q538" s="387"/>
      <c r="R538" s="388"/>
      <c r="S538" s="388"/>
      <c r="T538" s="388"/>
      <c r="U538" s="389"/>
      <c r="X538" s="383"/>
    </row>
    <row r="539" spans="3:24" s="381" customFormat="1" ht="15.75">
      <c r="C539" s="384"/>
      <c r="D539" s="384"/>
      <c r="E539" s="385"/>
      <c r="F539" s="385"/>
      <c r="G539" s="385"/>
      <c r="H539" s="385"/>
      <c r="I539" s="385"/>
      <c r="J539" s="385"/>
      <c r="K539" s="385"/>
      <c r="L539" s="385"/>
      <c r="M539" s="385"/>
      <c r="N539" s="385"/>
      <c r="O539" s="385"/>
      <c r="P539" s="386"/>
      <c r="Q539" s="387"/>
      <c r="R539" s="388"/>
      <c r="S539" s="388"/>
      <c r="T539" s="388"/>
      <c r="U539" s="389"/>
      <c r="X539" s="383"/>
    </row>
    <row r="540" spans="3:24" s="381" customFormat="1" ht="15.75">
      <c r="C540" s="384"/>
      <c r="D540" s="384"/>
      <c r="E540" s="385"/>
      <c r="F540" s="385"/>
      <c r="G540" s="385"/>
      <c r="H540" s="385"/>
      <c r="I540" s="385"/>
      <c r="J540" s="385"/>
      <c r="K540" s="385"/>
      <c r="L540" s="385"/>
      <c r="M540" s="385"/>
      <c r="N540" s="385"/>
      <c r="O540" s="385"/>
      <c r="P540" s="386"/>
      <c r="Q540" s="387"/>
      <c r="R540" s="388"/>
      <c r="S540" s="388"/>
      <c r="T540" s="388"/>
      <c r="U540" s="389"/>
      <c r="X540" s="383"/>
    </row>
    <row r="541" spans="3:24" s="381" customFormat="1" ht="15.75">
      <c r="C541" s="384"/>
      <c r="D541" s="384"/>
      <c r="E541" s="385"/>
      <c r="F541" s="385"/>
      <c r="G541" s="385"/>
      <c r="H541" s="385"/>
      <c r="I541" s="385"/>
      <c r="J541" s="385"/>
      <c r="K541" s="385"/>
      <c r="L541" s="385"/>
      <c r="M541" s="385"/>
      <c r="N541" s="385"/>
      <c r="O541" s="385"/>
      <c r="P541" s="386"/>
      <c r="Q541" s="387"/>
      <c r="R541" s="388"/>
      <c r="S541" s="388"/>
      <c r="T541" s="388"/>
      <c r="U541" s="389"/>
      <c r="X541" s="383"/>
    </row>
    <row r="542" spans="3:24" s="381" customFormat="1" ht="15.75">
      <c r="C542" s="384"/>
      <c r="D542" s="384"/>
      <c r="E542" s="385"/>
      <c r="F542" s="385"/>
      <c r="G542" s="385"/>
      <c r="H542" s="385"/>
      <c r="I542" s="385"/>
      <c r="J542" s="385"/>
      <c r="K542" s="385"/>
      <c r="L542" s="385"/>
      <c r="M542" s="385"/>
      <c r="N542" s="385"/>
      <c r="O542" s="385"/>
      <c r="P542" s="386"/>
      <c r="Q542" s="387"/>
      <c r="R542" s="388"/>
      <c r="S542" s="388"/>
      <c r="T542" s="388"/>
      <c r="U542" s="389"/>
      <c r="X542" s="383"/>
    </row>
    <row r="543" spans="3:24" s="381" customFormat="1" ht="15.75">
      <c r="C543" s="384"/>
      <c r="D543" s="384"/>
      <c r="E543" s="385"/>
      <c r="F543" s="385"/>
      <c r="G543" s="385"/>
      <c r="H543" s="385"/>
      <c r="I543" s="385"/>
      <c r="J543" s="385"/>
      <c r="K543" s="385"/>
      <c r="L543" s="385"/>
      <c r="M543" s="385"/>
      <c r="N543" s="385"/>
      <c r="O543" s="385"/>
      <c r="P543" s="386"/>
      <c r="Q543" s="387"/>
      <c r="R543" s="388"/>
      <c r="S543" s="388"/>
      <c r="T543" s="388"/>
      <c r="U543" s="389"/>
      <c r="X543" s="383"/>
    </row>
    <row r="544" spans="3:24" s="381" customFormat="1" ht="15.75">
      <c r="C544" s="384"/>
      <c r="D544" s="384"/>
      <c r="E544" s="385"/>
      <c r="F544" s="385"/>
      <c r="G544" s="385"/>
      <c r="H544" s="385"/>
      <c r="I544" s="385"/>
      <c r="J544" s="385"/>
      <c r="K544" s="385"/>
      <c r="L544" s="385"/>
      <c r="M544" s="385"/>
      <c r="N544" s="385"/>
      <c r="O544" s="385"/>
      <c r="P544" s="386"/>
      <c r="Q544" s="387"/>
      <c r="R544" s="388"/>
      <c r="S544" s="388"/>
      <c r="T544" s="388"/>
      <c r="U544" s="389"/>
      <c r="X544" s="383"/>
    </row>
    <row r="545" spans="3:24" s="381" customFormat="1" ht="15.75">
      <c r="C545" s="384"/>
      <c r="D545" s="384"/>
      <c r="E545" s="385"/>
      <c r="F545" s="385"/>
      <c r="G545" s="385"/>
      <c r="H545" s="385"/>
      <c r="I545" s="385"/>
      <c r="J545" s="385"/>
      <c r="K545" s="385"/>
      <c r="L545" s="385"/>
      <c r="M545" s="385"/>
      <c r="N545" s="385"/>
      <c r="O545" s="385"/>
      <c r="P545" s="386"/>
      <c r="Q545" s="387"/>
      <c r="R545" s="388"/>
      <c r="S545" s="388"/>
      <c r="T545" s="388"/>
      <c r="U545" s="389"/>
      <c r="X545" s="383"/>
    </row>
    <row r="546" spans="3:24" s="381" customFormat="1" ht="15.75">
      <c r="C546" s="384"/>
      <c r="D546" s="384"/>
      <c r="E546" s="385"/>
      <c r="F546" s="385"/>
      <c r="G546" s="385"/>
      <c r="H546" s="385"/>
      <c r="I546" s="385"/>
      <c r="J546" s="385"/>
      <c r="K546" s="385"/>
      <c r="L546" s="385"/>
      <c r="M546" s="385"/>
      <c r="N546" s="385"/>
      <c r="O546" s="385"/>
      <c r="P546" s="386"/>
      <c r="Q546" s="387"/>
      <c r="R546" s="388"/>
      <c r="S546" s="388"/>
      <c r="T546" s="388"/>
      <c r="U546" s="389"/>
      <c r="X546" s="383"/>
    </row>
    <row r="547" spans="3:24" s="381" customFormat="1" ht="15.75">
      <c r="C547" s="384"/>
      <c r="D547" s="384"/>
      <c r="E547" s="385"/>
      <c r="F547" s="385"/>
      <c r="G547" s="385"/>
      <c r="H547" s="385"/>
      <c r="I547" s="385"/>
      <c r="J547" s="385"/>
      <c r="K547" s="385"/>
      <c r="L547" s="385"/>
      <c r="M547" s="385"/>
      <c r="N547" s="385"/>
      <c r="O547" s="385"/>
      <c r="P547" s="386"/>
      <c r="Q547" s="387"/>
      <c r="R547" s="388"/>
      <c r="S547" s="388"/>
      <c r="T547" s="388"/>
      <c r="U547" s="389"/>
      <c r="X547" s="383"/>
    </row>
    <row r="548" spans="3:24" s="381" customFormat="1" ht="15.75">
      <c r="C548" s="384"/>
      <c r="D548" s="384"/>
      <c r="E548" s="385"/>
      <c r="F548" s="385"/>
      <c r="G548" s="385"/>
      <c r="H548" s="385"/>
      <c r="I548" s="385"/>
      <c r="J548" s="385"/>
      <c r="K548" s="385"/>
      <c r="L548" s="385"/>
      <c r="M548" s="385"/>
      <c r="N548" s="385"/>
      <c r="O548" s="385"/>
      <c r="P548" s="386"/>
      <c r="Q548" s="387"/>
      <c r="R548" s="388"/>
      <c r="S548" s="388"/>
      <c r="T548" s="388"/>
      <c r="U548" s="389"/>
      <c r="X548" s="383"/>
    </row>
  </sheetData>
  <autoFilter ref="A15:V474"/>
  <mergeCells count="55">
    <mergeCell ref="A7:V7"/>
    <mergeCell ref="A8:V8"/>
    <mergeCell ref="A9:V9"/>
    <mergeCell ref="S11:V11"/>
    <mergeCell ref="B481:V481"/>
    <mergeCell ref="A13:A14"/>
    <mergeCell ref="B13:B14"/>
    <mergeCell ref="C13:C14"/>
    <mergeCell ref="E13:E14"/>
    <mergeCell ref="F13:K13"/>
    <mergeCell ref="B482:V482"/>
    <mergeCell ref="B483:V483"/>
    <mergeCell ref="B484:V484"/>
    <mergeCell ref="D13:D14"/>
    <mergeCell ref="L13:N13"/>
    <mergeCell ref="O13:O14"/>
    <mergeCell ref="P13:R13"/>
    <mergeCell ref="S13:U13"/>
    <mergeCell ref="V13:V14"/>
    <mergeCell ref="B487:V487"/>
    <mergeCell ref="B488:V488"/>
    <mergeCell ref="B485:V485"/>
    <mergeCell ref="B486:V486"/>
    <mergeCell ref="B491:V491"/>
    <mergeCell ref="B521:U521"/>
    <mergeCell ref="B527:D527"/>
    <mergeCell ref="B489:V489"/>
    <mergeCell ref="B490:V490"/>
    <mergeCell ref="B518:U518"/>
    <mergeCell ref="B492:V492"/>
    <mergeCell ref="B493:V493"/>
    <mergeCell ref="B495:V495"/>
    <mergeCell ref="B496:V496"/>
    <mergeCell ref="B497:V497"/>
    <mergeCell ref="B501:V501"/>
    <mergeCell ref="B502:V502"/>
    <mergeCell ref="B516:U516"/>
    <mergeCell ref="B513:V513"/>
    <mergeCell ref="B499:V499"/>
    <mergeCell ref="B514:V514"/>
    <mergeCell ref="B494:V494"/>
    <mergeCell ref="B500:V500"/>
    <mergeCell ref="B498:V498"/>
    <mergeCell ref="B519:U519"/>
    <mergeCell ref="B520:U520"/>
    <mergeCell ref="B509:V509"/>
    <mergeCell ref="B510:V510"/>
    <mergeCell ref="B511:V511"/>
    <mergeCell ref="B512:V512"/>
    <mergeCell ref="B504:V504"/>
    <mergeCell ref="B505:V505"/>
    <mergeCell ref="B506:V506"/>
    <mergeCell ref="B507:V507"/>
    <mergeCell ref="B508:V508"/>
    <mergeCell ref="B503:V503"/>
  </mergeCells>
  <pageMargins left="0.25" right="0.25" top="0.75" bottom="0.75" header="0.3" footer="0.3"/>
  <pageSetup paperSize="9" scale="40" fitToHeight="0" orientation="landscape" r:id="rId1"/>
  <headerFooter>
    <oddFooter>Страница  &amp;P из &amp;N</oddFooter>
  </headerFooter>
  <rowBreaks count="1" manualBreakCount="1">
    <brk id="296"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рс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Nalivaiko_AO</dc:creator>
  <cp:lastModifiedBy>Гонтарь Екатерина Николаевна</cp:lastModifiedBy>
  <cp:lastPrinted>2025-03-14T13:26:16Z</cp:lastPrinted>
  <dcterms:created xsi:type="dcterms:W3CDTF">2013-06-20T13:20:36Z</dcterms:created>
  <dcterms:modified xsi:type="dcterms:W3CDTF">2025-03-21T09:32:09Z</dcterms:modified>
</cp:coreProperties>
</file>