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mserver\Строительная Компания\Тендер\Кубинская\2 очередь\Тендеры\19. Кровля\2. Рассылка\"/>
    </mc:Choice>
  </mc:AlternateContent>
  <bookViews>
    <workbookView xWindow="0" yWindow="0" windowWidth="15360" windowHeight="7905" tabRatio="886"/>
  </bookViews>
  <sheets>
    <sheet name="расчет Кубинская 2 оч" sheetId="1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s>
  <definedNames>
    <definedName name="_1Excel_BuiltIn_Print_Area_2_1_1" localSheetId="0">[1]Калькуляция!#REF!</definedName>
    <definedName name="_1Excel_BuiltIn_Print_Area_2_1_1">[1]Калькуляция!#REF!</definedName>
    <definedName name="_3Excel_BuiltIn_Print_Area_2_1_1" localSheetId="0">[2]Калькуляция!#REF!</definedName>
    <definedName name="_3Excel_BuiltIn_Print_Area_2_1_1">[2]Калькуляция!#REF!</definedName>
    <definedName name="_4Excel_BuiltIn_Print_Area_2_1_1" localSheetId="0">[1]Калькуляция!#REF!</definedName>
    <definedName name="_4Excel_BuiltIn_Print_Area_2_1_1">[1]Калькуляция!#REF!</definedName>
    <definedName name="aa" localSheetId="0">#REF!</definedName>
    <definedName name="aa">#REF!</definedName>
    <definedName name="AccessDatabase" hidden="1">"C:\My Documents\vlad\Var_2\can270398v2t05.mdb"</definedName>
    <definedName name="anscount" hidden="1">1</definedName>
    <definedName name="csDesignMode">1</definedName>
    <definedName name="dvsdvs" localSheetId="0" hidden="1">#REF!</definedName>
    <definedName name="dvsdvs" hidden="1">#REF!</definedName>
    <definedName name="Excel_BuiltIn_Print_Area_1_1" localSheetId="0">#REF!</definedName>
    <definedName name="Excel_BuiltIn_Print_Area_1_1">#REF!</definedName>
    <definedName name="Excel_BuiltIn_Print_Area_1_1_1" localSheetId="0">#REF!</definedName>
    <definedName name="Excel_BuiltIn_Print_Area_1_1_1">#REF!</definedName>
    <definedName name="Excel_BuiltIn_Print_Area_1_1_1_1" localSheetId="0">#REF!</definedName>
    <definedName name="Excel_BuiltIn_Print_Area_1_1_1_1">#REF!</definedName>
    <definedName name="Excel_BuiltIn_Print_Area_1_1_1_1_1" localSheetId="0">#REF!</definedName>
    <definedName name="Excel_BuiltIn_Print_Area_1_1_1_1_1">#REF!</definedName>
    <definedName name="Excel_BuiltIn_Print_Area_1_1_1_1_1_1_1" localSheetId="0">#REF!</definedName>
    <definedName name="Excel_BuiltIn_Print_Area_1_1_1_1_1_1_1">#REF!</definedName>
    <definedName name="Excel_BuiltIn_Print_Area_2" localSheetId="0">#REF!</definedName>
    <definedName name="Excel_BuiltIn_Print_Area_2">#REF!</definedName>
    <definedName name="Excel_BuiltIn_Print_Area_2_1">"$'Сравнительная 1-я оч. и 2-я оч.'.$#ССЫЛ!$#ССЫЛ!:$#ССЫЛ!$#ССЫЛ!"</definedName>
    <definedName name="Excel_BuiltIn_Print_Area_2_1_1" localSheetId="0">#REF!</definedName>
    <definedName name="Excel_BuiltIn_Print_Area_2_1_1">#REF!</definedName>
    <definedName name="ggg" localSheetId="0" hidden="1">#REF!</definedName>
    <definedName name="ggg" hidden="1">#REF!</definedName>
    <definedName name="h" localSheetId="0" hidden="1">#REF!,#REF!,#REF!,#REF!,#REF!</definedName>
    <definedName name="h" hidden="1">#REF!,#REF!,#REF!,#REF!,#REF!</definedName>
    <definedName name="HTML_CodePage" hidden="1">1251</definedName>
    <definedName name="HTML_Description" hidden="1">""</definedName>
    <definedName name="HTML_Email" hidden="1">""</definedName>
    <definedName name="HTML_Header" hidden="1">""</definedName>
    <definedName name="HTML_LastUpdate" hidden="1">"19.08.98"</definedName>
    <definedName name="HTML_LineAfter" hidden="1">FALSE</definedName>
    <definedName name="HTML_LineBefore" hidden="1">FALSE</definedName>
    <definedName name="HTML_Name" hidden="1">"Алесенко"</definedName>
    <definedName name="HTML_OBDlg2" hidden="1">TRUE</definedName>
    <definedName name="HTML_OBDlg4" hidden="1">TRUE</definedName>
    <definedName name="HTML_OS" hidden="1">0</definedName>
    <definedName name="HTML_PathFile" hidden="1">"L:\WWW\ECONOMIC\541-rsk.htm"</definedName>
    <definedName name="HTML_Title" hidden="1">"DIAG_RSK"</definedName>
    <definedName name="limcount" hidden="1">1</definedName>
    <definedName name="OLE_LINK2_1" localSheetId="0">'[3]Спецификация ПРОЕКТ'!#REF!</definedName>
    <definedName name="OLE_LINK2_1">'[3]Спецификация ПРОЕКТ'!#REF!</definedName>
    <definedName name="Paroc">'[4]расценки-от'!$A$177</definedName>
    <definedName name="rt" localSheetId="0">#REF!</definedName>
    <definedName name="rt">#REF!</definedName>
    <definedName name="sencount" hidden="1">1</definedName>
    <definedName name="wrn.1." hidden="1">{"konoplin - Личное представление",#N/A,TRUE,"ФинПлан_1кв";"konoplin - Личное представление",#N/A,TRUE,"ФинПлан_2кв"}</definedName>
    <definedName name="Z_30FEE15E_D26F_11D4_A6F7_00508B6A7686_.wvu.FilterData" localSheetId="0" hidden="1">#REF!</definedName>
    <definedName name="Z_30FEE15E_D26F_11D4_A6F7_00508B6A7686_.wvu.FilterData" hidden="1">#REF!</definedName>
    <definedName name="Z_30FEE15E_D26F_11D4_A6F7_00508B6A7686_.wvu.PrintArea" localSheetId="0" hidden="1">#REF!</definedName>
    <definedName name="Z_30FEE15E_D26F_11D4_A6F7_00508B6A7686_.wvu.PrintArea" hidden="1">#REF!</definedName>
    <definedName name="Z_30FEE15E_D26F_11D4_A6F7_00508B6A7686_.wvu.PrintTitles" localSheetId="0" hidden="1">#REF!</definedName>
    <definedName name="Z_30FEE15E_D26F_11D4_A6F7_00508B6A7686_.wvu.PrintTitles" hidden="1">#REF!</definedName>
    <definedName name="Z_30FEE15E_D26F_11D4_A6F7_00508B6A7686_.wvu.Rows" localSheetId="0" hidden="1">#REF!</definedName>
    <definedName name="Z_30FEE15E_D26F_11D4_A6F7_00508B6A7686_.wvu.Rows" hidden="1">#REF!</definedName>
    <definedName name="Z_A6168485_6886_4592_BB13_07B9E683E6FB_.wvu.Cols" localSheetId="0" hidden="1">#REF!</definedName>
    <definedName name="Z_A6168485_6886_4592_BB13_07B9E683E6FB_.wvu.Cols" hidden="1">#REF!</definedName>
    <definedName name="Z_A6168485_6886_4592_BB13_07B9E683E6FB_.wvu.FilterData" localSheetId="0" hidden="1">#REF!</definedName>
    <definedName name="Z_A6168485_6886_4592_BB13_07B9E683E6FB_.wvu.FilterData" hidden="1">#REF!</definedName>
    <definedName name="Z_A6168485_6886_4592_BB13_07B9E683E6FB_.wvu.PrintArea" localSheetId="0" hidden="1">#REF!</definedName>
    <definedName name="Z_A6168485_6886_4592_BB13_07B9E683E6FB_.wvu.PrintArea" hidden="1">#REF!</definedName>
    <definedName name="Z_A6168485_6886_4592_BB13_07B9E683E6FB_.wvu.PrintTitles" localSheetId="0" hidden="1">#REF!</definedName>
    <definedName name="Z_A6168485_6886_4592_BB13_07B9E683E6FB_.wvu.PrintTitles" hidden="1">#REF!</definedName>
    <definedName name="Z_A6168485_6886_4592_BB13_07B9E683E6FB_.wvu.Rows" localSheetId="0" hidden="1">#REF!,#REF!,#REF!,#REF!,#REF!</definedName>
    <definedName name="Z_A6168485_6886_4592_BB13_07B9E683E6FB_.wvu.Rows" hidden="1">#REF!,#REF!,#REF!,#REF!,#REF!</definedName>
    <definedName name="Z_AB45FFAE_19AD_47F2_A68A_497CFA02F912_.wvu.Rows" localSheetId="0" hidden="1">#REF!</definedName>
    <definedName name="Z_AB45FFAE_19AD_47F2_A68A_497CFA02F912_.wvu.Rows" hidden="1">#REF!</definedName>
    <definedName name="Z_D0FC81D9_872A_11D6_B808_0010DC239F6A_.wvu.Cols" localSheetId="0" hidden="1">#REF!</definedName>
    <definedName name="Z_D0FC81D9_872A_11D6_B808_0010DC239F6A_.wvu.Cols" hidden="1">#REF!</definedName>
    <definedName name="Z_D0FC81D9_872A_11D6_B808_0010DC239F6A_.wvu.FilterData" localSheetId="0" hidden="1">#REF!</definedName>
    <definedName name="Z_D0FC81D9_872A_11D6_B808_0010DC239F6A_.wvu.FilterData" hidden="1">#REF!</definedName>
    <definedName name="Z_D0FC81D9_872A_11D6_B808_0010DC239F6A_.wvu.PrintArea" localSheetId="0" hidden="1">#REF!</definedName>
    <definedName name="Z_D0FC81D9_872A_11D6_B808_0010DC239F6A_.wvu.PrintArea" hidden="1">#REF!</definedName>
    <definedName name="Z_D0FC81D9_872A_11D6_B808_0010DC239F6A_.wvu.PrintTitles" localSheetId="0" hidden="1">#REF!</definedName>
    <definedName name="Z_D0FC81D9_872A_11D6_B808_0010DC239F6A_.wvu.PrintTitles" hidden="1">#REF!</definedName>
    <definedName name="Z_D0FC81D9_872A_11D6_B808_0010DC239F6A_.wvu.Rows" localSheetId="0" hidden="1">#REF!,#REF!,#REF!,#REF!,#REF!</definedName>
    <definedName name="Z_D0FC81D9_872A_11D6_B808_0010DC239F6A_.wvu.Rows" hidden="1">#REF!,#REF!,#REF!,#REF!,#REF!</definedName>
    <definedName name="Z_FA0D2A17_1C02_11D8_848D_00021BF19BDB_.wvu.FilterData" localSheetId="0" hidden="1">#REF!</definedName>
    <definedName name="Z_FA0D2A17_1C02_11D8_848D_00021BF19BDB_.wvu.FilterData" hidden="1">#REF!</definedName>
    <definedName name="аа" localSheetId="0" hidden="1">#REF!</definedName>
    <definedName name="аа" hidden="1">#REF!</definedName>
    <definedName name="бб" localSheetId="0">#REF!</definedName>
    <definedName name="бб">#REF!</definedName>
    <definedName name="бильярд" localSheetId="0">#REF!</definedName>
    <definedName name="бильярд">#REF!</definedName>
    <definedName name="в" localSheetId="0">#REF!</definedName>
    <definedName name="в">#REF!</definedName>
    <definedName name="в_цвете" hidden="1">{"konoplin - Личное представление",#N/A,TRUE,"ФинПлан_1кв";"konoplin - Личное представление",#N/A,TRUE,"ФинПлан_2кв"}</definedName>
    <definedName name="вводаренда" localSheetId="0">#REF!</definedName>
    <definedName name="вводаренда">#REF!</definedName>
    <definedName name="вводаренда2" localSheetId="0">#REF!</definedName>
    <definedName name="вводаренда2">#REF!</definedName>
    <definedName name="высота">'[5]объем (2)'!$C$4</definedName>
    <definedName name="ГВЛв1слой">'[4]расценки-от'!$A$187</definedName>
    <definedName name="ГВЛв2слоя" localSheetId="0">#REF!</definedName>
    <definedName name="ГВЛв2слоя">#REF!</definedName>
    <definedName name="Гр" localSheetId="0">#REF!</definedName>
    <definedName name="Гр">#REF!</definedName>
    <definedName name="дата_оценки">'[6]Данные по проекту'!$A$4</definedName>
    <definedName name="дата_проекта" localSheetId="0">'[7]Данные по проекту'!#REF!</definedName>
    <definedName name="дата_проекта">'[7]Данные по проекту'!#REF!</definedName>
    <definedName name="дваЭтажа">'[5]окна по этажам'!$C$57</definedName>
    <definedName name="дней" localSheetId="0">#REF!</definedName>
    <definedName name="дней">#REF!</definedName>
    <definedName name="Дол" localSheetId="0">#REF!</definedName>
    <definedName name="Дол">#REF!</definedName>
    <definedName name="дом" localSheetId="0">[2]Калькуляция!#REF!</definedName>
    <definedName name="дом">[2]Калькуляция!#REF!</definedName>
    <definedName name="дс2" localSheetId="0">#REF!</definedName>
    <definedName name="дс2">#REF!</definedName>
    <definedName name="ЕВРО">'[5]ЭО (2)'!$N$3</definedName>
    <definedName name="заг">[8]Фактзатр!$A$1:$C$65536,[8]Фактзатр!$A$5:$IV$7</definedName>
    <definedName name="_xlnm.Print_Titles">[8]Фактзатр!$A$1:$C$65536,[8]Фактзатр!$A$5:$IV$7</definedName>
    <definedName name="застройка2">[9]расчет!$C$8</definedName>
    <definedName name="и" localSheetId="0" hidden="1">#REF!,#REF!,#REF!,#REF!,#REF!</definedName>
    <definedName name="и" hidden="1">#REF!,#REF!,#REF!,#REF!,#REF!</definedName>
    <definedName name="инд">[10]график01.09.02!$D$3</definedName>
    <definedName name="индекс" localSheetId="0">'[7]Данные по проекту'!#REF!</definedName>
    <definedName name="индекс">'[7]Данные по проекту'!#REF!</definedName>
    <definedName name="индекс1" localSheetId="0">[11]текущие!#REF!</definedName>
    <definedName name="индекс1">[11]текущие!#REF!</definedName>
    <definedName name="индекс2" localSheetId="0">#REF!</definedName>
    <definedName name="индекс2">#REF!</definedName>
    <definedName name="индекс3" localSheetId="0">[12]текущие!#REF!</definedName>
    <definedName name="индекс3">[12]текущие!#REF!</definedName>
    <definedName name="индекс4" localSheetId="0">#REF!</definedName>
    <definedName name="индекс4">#REF!</definedName>
    <definedName name="итю" localSheetId="0">#REF!</definedName>
    <definedName name="итю">#REF!</definedName>
    <definedName name="й" localSheetId="0">#REF!</definedName>
    <definedName name="й">#REF!</definedName>
    <definedName name="ййй" localSheetId="0">#REF!</definedName>
    <definedName name="ййй">#REF!</definedName>
    <definedName name="к">'[13]на 01.11.05 в нов.форме'!$M$17</definedName>
    <definedName name="квартиры">[14]расчет!$C$11</definedName>
    <definedName name="кекекеек" hidden="1">{"konoplin - Личное представление",#N/A,TRUE,"ФинПлан_1кв";"konoplin - Личное представление",#N/A,TRUE,"ФинПлан_2кв"}</definedName>
    <definedName name="КерПлМат">'[15]расценки-от'!$G$83</definedName>
    <definedName name="КерПлРаб">'[15]расценки-от'!$F$83</definedName>
    <definedName name="Км">'[16]ТЗ_электрика_Адысев (2)'!$P$6</definedName>
    <definedName name="код_4ур">'[17]спр (2)'!$D$1:$D$65536</definedName>
    <definedName name="количество">'[5]объем (2)'!$B$8</definedName>
    <definedName name="Кр">'[16]ТЗ_электрика_Адысев (2)'!$Q$6</definedName>
    <definedName name="кспн">'[18]Данные по проекту'!$C$47</definedName>
    <definedName name="кт">'[18]14'!$H$4</definedName>
    <definedName name="кт1">[19]расценки1!$O$1</definedName>
    <definedName name="курс">[20]june06!$C$110</definedName>
    <definedName name="Курс.дол" localSheetId="0">#REF!</definedName>
    <definedName name="Курс.дол">#REF!</definedName>
    <definedName name="курс_usd">'[21]расчет КМД2'!$H$12</definedName>
    <definedName name="Курс_дол" localSheetId="0">#REF!</definedName>
    <definedName name="Курс_дол">#REF!</definedName>
    <definedName name="курс1" localSheetId="0">#REF!</definedName>
    <definedName name="курс1">#REF!</definedName>
    <definedName name="курс2" localSheetId="0">[22]Расчет!#REF!</definedName>
    <definedName name="курс2">[22]Расчет!#REF!</definedName>
    <definedName name="курсusd">'[21]расчет КМД2'!$H$12</definedName>
    <definedName name="курсд" localSheetId="0">#REF!</definedName>
    <definedName name="курсд">#REF!</definedName>
    <definedName name="курсддд">'[23]расчет '!$H$12</definedName>
    <definedName name="курсдол" localSheetId="0">#REF!</definedName>
    <definedName name="курсдол">#REF!</definedName>
    <definedName name="курсдолл" localSheetId="0">#REF!</definedName>
    <definedName name="курсдолл">#REF!</definedName>
    <definedName name="лифт">'[24]КП ЛМС (2)'!$K$11</definedName>
    <definedName name="ЛЪ" localSheetId="0">#REF!</definedName>
    <definedName name="ЛЪ">#REF!</definedName>
    <definedName name="МощнАб">'[25]Лист1 (2)'!$E$12</definedName>
    <definedName name="МощнАб_К">'[25]Лист1 (2)'!$E$19</definedName>
    <definedName name="н_индекс">[14]расчет!$G$17</definedName>
    <definedName name="н_курс">[14]расчет!$G$18</definedName>
    <definedName name="_xlnm.Print_Area" localSheetId="0">'расчет Кубинская 2 оч'!$A$1:$U$151</definedName>
    <definedName name="Общ.площ" localSheetId="0">#REF!</definedName>
    <definedName name="Общ.площ">#REF!</definedName>
    <definedName name="Общ_площ" localSheetId="0">#REF!</definedName>
    <definedName name="Общ_площ">#REF!</definedName>
    <definedName name="опа" localSheetId="0">#REF!</definedName>
    <definedName name="опа">#REF!</definedName>
    <definedName name="остекл">'[26]витражные окна квартир'!$H$2</definedName>
    <definedName name="откосы" localSheetId="0">#REF!</definedName>
    <definedName name="откосы">#REF!</definedName>
    <definedName name="паркинга">[27]расчет!$C$11</definedName>
    <definedName name="площ.О2">'[6]S проемов'!$F$10</definedName>
    <definedName name="площадь">[14]расчет!$C$10</definedName>
    <definedName name="помощ" localSheetId="0">[28]Калькуляция!#REF!</definedName>
    <definedName name="помощ">[28]Калькуляция!#REF!</definedName>
    <definedName name="поперечнЭкран" localSheetId="0">'[29]витражн витрины и двери 1эт'!#REF!</definedName>
    <definedName name="поперечнЭкран">'[29]витражн витрины и двери 1эт'!#REF!</definedName>
    <definedName name="потолВЭмат">'[15]расценки-от'!$G$191</definedName>
    <definedName name="потолВЭраб">'[15]расценки-от'!$F$191</definedName>
    <definedName name="потолОднслШтМат">'[15]расценки-от'!$G$196</definedName>
    <definedName name="потолОднШтукРаб">'[15]расценки-от'!$F$196</definedName>
    <definedName name="потолокВЭ">'[4]расценки-от'!$A$191</definedName>
    <definedName name="потолокГВЛв2слоя" localSheetId="0">#REF!</definedName>
    <definedName name="потолокГВЛв2слоя">#REF!</definedName>
    <definedName name="потолокОднслШт">'[15]расценки-от'!$A$196</definedName>
    <definedName name="ПрМощнБ">'[25]Лист1 (2)'!$E$4</definedName>
    <definedName name="ПрМощнМ">'[25]Лист1 (2)'!$C$4</definedName>
    <definedName name="прогноз_индекс">'[30]прогноз СМР'!$B$6:$BU$9</definedName>
    <definedName name="пс" localSheetId="0">#REF!</definedName>
    <definedName name="пс">#REF!</definedName>
    <definedName name="равропаоьрп" hidden="1">{"konoplin - Личное представление",#N/A,TRUE,"ФинПлан_1кв";"konoplin - Личное представление",#N/A,TRUE,"ФинПлан_2кв"}</definedName>
    <definedName name="Расчет_Заказчика" localSheetId="0">#REF!</definedName>
    <definedName name="Расчет_Заказчика">#REF!</definedName>
    <definedName name="резерв">'[31]Данные по очереди'!$B$43</definedName>
    <definedName name="резерв1">'[32]Данные по проекту'!$C$35</definedName>
    <definedName name="_xlnm.Recorder" localSheetId="0">#REF!</definedName>
    <definedName name="_xlnm.Recorder">#REF!</definedName>
    <definedName name="с" localSheetId="0">#REF!</definedName>
    <definedName name="с">#REF!</definedName>
    <definedName name="СКИДКА">'[5]ЭО (2)'!$M$3</definedName>
    <definedName name="срВысота">[18]АВАНГАРДпересчет!$B$2</definedName>
    <definedName name="стекломагн">'[26]витражные окна квартир'!$I$2</definedName>
    <definedName name="толщУтеплителя" localSheetId="0">#REF!</definedName>
    <definedName name="толщУтеплителя">#REF!</definedName>
    <definedName name="торг" localSheetId="0">#REF!</definedName>
    <definedName name="торг">#REF!</definedName>
    <definedName name="триЭтажа">'[5]окна по этажам'!$C$66</definedName>
    <definedName name="ТрфВ_б">'[25]Лист1 (2)'!$E$5</definedName>
    <definedName name="ТрфВ_м">'[25]Лист1 (2)'!$C$5</definedName>
    <definedName name="ТрфВ_с">'[25]Лист1 (2)'!$D$5</definedName>
    <definedName name="ТрфК_б">'[25]Лист1 (2)'!$E$6</definedName>
    <definedName name="ТрфК_м">'[25]Лист1 (2)'!$C$6</definedName>
    <definedName name="ТрфК_с">'[25]Лист1 (2)'!$D$6</definedName>
    <definedName name="ттт" localSheetId="0">#REF!</definedName>
    <definedName name="ттт">#REF!</definedName>
    <definedName name="у" localSheetId="0">#REF!</definedName>
    <definedName name="у">#REF!</definedName>
    <definedName name="участок">'[31]Данные по очереди'!$B$21</definedName>
    <definedName name="фасад">[33]Фактзатр!$A$1:$C$65536,[33]Фактзатр!$A$5:$IV$7</definedName>
    <definedName name="фибр40мат">'[15]расценки-от'!$G$119</definedName>
    <definedName name="фибр40раб">'[15]расценки-от'!$F$119</definedName>
    <definedName name="ФинПланФакт" hidden="1">{"konoplin - Личное представление",#N/A,TRUE,"ФинПлан_1кв";"konoplin - Личное представление",#N/A,TRUE,"ФинПлан_2кв"}</definedName>
    <definedName name="ффф" localSheetId="0">#REF!</definedName>
    <definedName name="ффф">#REF!</definedName>
    <definedName name="шаг" localSheetId="0">#REF!</definedName>
    <definedName name="шаг">#REF!</definedName>
    <definedName name="шаг1">'[14]Предложение на торгах1 ($) (2)'!$L$21</definedName>
    <definedName name="щ" localSheetId="0">#REF!</definedName>
    <definedName name="щ">#REF!</definedName>
    <definedName name="ыр" localSheetId="0" hidden="1">#REF!,#REF!,#REF!,#REF!,#REF!</definedName>
    <definedName name="ыр" hidden="1">#REF!,#REF!,#REF!,#REF!,#REF!</definedName>
    <definedName name="этаж">[14]расчет!$C$13</definedName>
    <definedName name="этажи">'[5]двери по этажам'!$C$26</definedName>
  </definedNames>
  <calcPr calcId="162913" fullPrecision="0"/>
</workbook>
</file>

<file path=xl/calcChain.xml><?xml version="1.0" encoding="utf-8"?>
<calcChain xmlns="http://schemas.openxmlformats.org/spreadsheetml/2006/main">
  <c r="M66" i="11" l="1"/>
  <c r="L66" i="11"/>
  <c r="K66" i="11"/>
  <c r="J56" i="11"/>
  <c r="I56" i="11"/>
  <c r="H56" i="11"/>
  <c r="G56" i="11"/>
  <c r="F56" i="11"/>
  <c r="E56" i="11"/>
  <c r="H46" i="11"/>
  <c r="G46" i="11"/>
  <c r="F46" i="11"/>
  <c r="E46" i="11"/>
  <c r="J36" i="11"/>
  <c r="I36" i="11"/>
  <c r="H36" i="11" l="1"/>
  <c r="G36" i="11"/>
  <c r="F36" i="11"/>
  <c r="E36" i="11"/>
  <c r="G26" i="11"/>
  <c r="F26" i="11"/>
  <c r="E26" i="11"/>
  <c r="Q66" i="11"/>
  <c r="J66" i="11"/>
  <c r="I66" i="11"/>
  <c r="H66" i="11"/>
  <c r="G66" i="11"/>
  <c r="F66" i="11"/>
  <c r="E66" i="11"/>
  <c r="Q56" i="11"/>
  <c r="M56" i="11"/>
  <c r="L56" i="11"/>
  <c r="K56" i="11"/>
  <c r="Q46" i="11"/>
  <c r="M46" i="11"/>
  <c r="L46" i="11"/>
  <c r="K46" i="11"/>
  <c r="J46" i="11"/>
  <c r="I46" i="11"/>
  <c r="Q36" i="11"/>
  <c r="M36" i="11"/>
  <c r="L36" i="11"/>
  <c r="K36" i="11"/>
  <c r="M26" i="11"/>
  <c r="L26" i="11"/>
  <c r="K26" i="11"/>
  <c r="J26" i="11"/>
  <c r="I26" i="11"/>
  <c r="H26" i="11"/>
  <c r="Q26" i="11"/>
  <c r="N46" i="11" l="1"/>
  <c r="S46" i="11" s="1"/>
  <c r="N56" i="11"/>
  <c r="S56" i="11" s="1"/>
  <c r="N36" i="11"/>
  <c r="S36" i="11" s="1"/>
  <c r="N26" i="11"/>
  <c r="R26" i="11" s="1"/>
  <c r="N66" i="11"/>
  <c r="S66" i="11" s="1"/>
  <c r="R56" i="11"/>
  <c r="R46" i="11"/>
  <c r="M65" i="11"/>
  <c r="M64" i="11"/>
  <c r="M63" i="11"/>
  <c r="M62" i="11"/>
  <c r="M61" i="11"/>
  <c r="M60" i="11"/>
  <c r="M59" i="11"/>
  <c r="M58" i="11"/>
  <c r="L65" i="11"/>
  <c r="L64" i="11"/>
  <c r="L63" i="11"/>
  <c r="L62" i="11"/>
  <c r="L61" i="11"/>
  <c r="L60" i="11"/>
  <c r="L59" i="11"/>
  <c r="L58" i="11"/>
  <c r="K65" i="11"/>
  <c r="K64" i="11"/>
  <c r="K63" i="11"/>
  <c r="K62" i="11"/>
  <c r="K61" i="11"/>
  <c r="K60" i="11"/>
  <c r="K59" i="11"/>
  <c r="K58" i="11"/>
  <c r="J55" i="11"/>
  <c r="J54" i="11"/>
  <c r="J53" i="11"/>
  <c r="J52" i="11"/>
  <c r="J51" i="11"/>
  <c r="J50" i="11"/>
  <c r="J49" i="11"/>
  <c r="J48" i="11"/>
  <c r="I55" i="11"/>
  <c r="I54" i="11"/>
  <c r="I53" i="11"/>
  <c r="I52" i="11"/>
  <c r="I51" i="11"/>
  <c r="I50" i="11"/>
  <c r="I49" i="11"/>
  <c r="I48" i="11"/>
  <c r="H55" i="11"/>
  <c r="H54" i="11"/>
  <c r="H53" i="11"/>
  <c r="H52" i="11"/>
  <c r="H51" i="11"/>
  <c r="H50" i="11"/>
  <c r="H49" i="11"/>
  <c r="H48" i="11"/>
  <c r="G55" i="11"/>
  <c r="G54" i="11"/>
  <c r="G53" i="11"/>
  <c r="G52" i="11"/>
  <c r="G51" i="11"/>
  <c r="G50" i="11"/>
  <c r="G49" i="11"/>
  <c r="G48" i="11"/>
  <c r="F55" i="11"/>
  <c r="E55" i="11"/>
  <c r="F54" i="11"/>
  <c r="E54" i="11"/>
  <c r="F53" i="11"/>
  <c r="E53" i="11"/>
  <c r="F52" i="11"/>
  <c r="E52" i="11"/>
  <c r="F51" i="11"/>
  <c r="E51" i="11"/>
  <c r="F50" i="11"/>
  <c r="E50" i="11"/>
  <c r="F49" i="11"/>
  <c r="F48" i="11"/>
  <c r="E49" i="11"/>
  <c r="E48" i="11"/>
  <c r="H44" i="11"/>
  <c r="H45" i="11"/>
  <c r="H43" i="11"/>
  <c r="H42" i="11"/>
  <c r="H41" i="11"/>
  <c r="H40" i="11"/>
  <c r="H39" i="11"/>
  <c r="H38" i="11"/>
  <c r="G45" i="11"/>
  <c r="G44" i="11"/>
  <c r="G43" i="11"/>
  <c r="G42" i="11"/>
  <c r="G41" i="11"/>
  <c r="G40" i="11"/>
  <c r="G39" i="11"/>
  <c r="G38" i="11"/>
  <c r="F45" i="11"/>
  <c r="F44" i="11"/>
  <c r="F43" i="11"/>
  <c r="F42" i="11"/>
  <c r="F41" i="11"/>
  <c r="F40" i="11"/>
  <c r="F39" i="11"/>
  <c r="F38" i="11"/>
  <c r="E45" i="11"/>
  <c r="E44" i="11"/>
  <c r="E43" i="11"/>
  <c r="E42" i="11"/>
  <c r="E41" i="11"/>
  <c r="E40" i="11"/>
  <c r="E39" i="11"/>
  <c r="E38" i="11"/>
  <c r="J35" i="11"/>
  <c r="I35" i="11"/>
  <c r="J34" i="11"/>
  <c r="I34" i="11"/>
  <c r="J33" i="11"/>
  <c r="I33" i="11"/>
  <c r="J32" i="11"/>
  <c r="I32" i="11"/>
  <c r="J31" i="11"/>
  <c r="I31" i="11"/>
  <c r="J30" i="11"/>
  <c r="I30" i="11"/>
  <c r="J29" i="11"/>
  <c r="J28" i="11"/>
  <c r="I29" i="11"/>
  <c r="I28" i="11"/>
  <c r="H35" i="11"/>
  <c r="G35" i="11"/>
  <c r="H34" i="11"/>
  <c r="G34" i="11"/>
  <c r="H33" i="11"/>
  <c r="G33" i="11"/>
  <c r="H32" i="11"/>
  <c r="G32" i="11"/>
  <c r="H31" i="11"/>
  <c r="G31" i="11"/>
  <c r="H30" i="11"/>
  <c r="G30" i="11"/>
  <c r="H29" i="11"/>
  <c r="H28" i="11"/>
  <c r="G29" i="11"/>
  <c r="G28" i="11"/>
  <c r="F35" i="11"/>
  <c r="E35" i="11"/>
  <c r="F34" i="11"/>
  <c r="E34" i="11"/>
  <c r="Q34" i="11"/>
  <c r="M34" i="11"/>
  <c r="L34" i="11"/>
  <c r="K34" i="11"/>
  <c r="F33" i="11"/>
  <c r="E33" i="11"/>
  <c r="F32" i="11"/>
  <c r="E32" i="11"/>
  <c r="F31" i="11"/>
  <c r="E31" i="11"/>
  <c r="F30" i="11"/>
  <c r="E30" i="11"/>
  <c r="F29" i="11"/>
  <c r="F28" i="11"/>
  <c r="E29" i="11"/>
  <c r="E28" i="11"/>
  <c r="G25" i="11"/>
  <c r="G24" i="11"/>
  <c r="G23" i="11"/>
  <c r="G22" i="11"/>
  <c r="G21" i="11"/>
  <c r="G20" i="11"/>
  <c r="G19" i="11"/>
  <c r="G18" i="11"/>
  <c r="F25" i="11"/>
  <c r="F24" i="11"/>
  <c r="F23" i="11"/>
  <c r="F22" i="11"/>
  <c r="F21" i="11"/>
  <c r="F20" i="11"/>
  <c r="F19" i="11"/>
  <c r="F18" i="11"/>
  <c r="E25" i="11"/>
  <c r="E24" i="11"/>
  <c r="E23" i="11"/>
  <c r="E22" i="11"/>
  <c r="E21" i="11"/>
  <c r="E20" i="11"/>
  <c r="E19" i="11"/>
  <c r="E18" i="11"/>
  <c r="R66" i="11" l="1"/>
  <c r="T66" i="11" s="1"/>
  <c r="T56" i="11"/>
  <c r="R36" i="11"/>
  <c r="T36" i="11" s="1"/>
  <c r="S26" i="11"/>
  <c r="T26" i="11" s="1"/>
  <c r="T46" i="11"/>
  <c r="N34" i="11"/>
  <c r="S34" i="11" s="1"/>
  <c r="Q24" i="11"/>
  <c r="M24" i="11"/>
  <c r="L24" i="11"/>
  <c r="K24" i="11"/>
  <c r="J24" i="11"/>
  <c r="I24" i="11"/>
  <c r="H24" i="11"/>
  <c r="N24" i="11" l="1"/>
  <c r="S24" i="11" s="1"/>
  <c r="R34" i="11"/>
  <c r="T34" i="11" s="1"/>
  <c r="R24" i="11" l="1"/>
  <c r="T24" i="11" s="1"/>
  <c r="Q65" i="11" l="1"/>
  <c r="J65" i="11"/>
  <c r="I65" i="11"/>
  <c r="H65" i="11"/>
  <c r="G65" i="11"/>
  <c r="F65" i="11"/>
  <c r="E65" i="11"/>
  <c r="Q55" i="11"/>
  <c r="M55" i="11"/>
  <c r="L55" i="11"/>
  <c r="K55" i="11"/>
  <c r="Q45" i="11"/>
  <c r="M45" i="11"/>
  <c r="L45" i="11"/>
  <c r="K45" i="11"/>
  <c r="J45" i="11"/>
  <c r="I45" i="11"/>
  <c r="N45" i="11"/>
  <c r="Q35" i="11"/>
  <c r="M35" i="11"/>
  <c r="L35" i="11"/>
  <c r="K35" i="11"/>
  <c r="Q25" i="11"/>
  <c r="M25" i="11"/>
  <c r="L25" i="11"/>
  <c r="K25" i="11"/>
  <c r="J25" i="11"/>
  <c r="I25" i="11"/>
  <c r="H25" i="11"/>
  <c r="N65" i="11" l="1"/>
  <c r="R65" i="11" s="1"/>
  <c r="N35" i="11"/>
  <c r="N55" i="11"/>
  <c r="S55" i="11" s="1"/>
  <c r="N25" i="11"/>
  <c r="R25" i="11" s="1"/>
  <c r="R45" i="11"/>
  <c r="S45" i="11"/>
  <c r="R35" i="11"/>
  <c r="S35" i="11"/>
  <c r="S65" i="11" l="1"/>
  <c r="T65" i="11" s="1"/>
  <c r="R55" i="11"/>
  <c r="T55" i="11" s="1"/>
  <c r="S25" i="11"/>
  <c r="T25" i="11" s="1"/>
  <c r="T45" i="11"/>
  <c r="T35" i="11"/>
  <c r="L23" i="11" l="1"/>
  <c r="K23" i="11"/>
  <c r="J23" i="11"/>
  <c r="I23" i="11"/>
  <c r="H23" i="11"/>
  <c r="L22" i="11"/>
  <c r="K22" i="11"/>
  <c r="J22" i="11"/>
  <c r="I22" i="11"/>
  <c r="H22" i="11"/>
  <c r="L21" i="11"/>
  <c r="K21" i="11"/>
  <c r="J21" i="11"/>
  <c r="I21" i="11"/>
  <c r="H21" i="11"/>
  <c r="L20" i="11"/>
  <c r="K20" i="11"/>
  <c r="J20" i="11"/>
  <c r="I20" i="11"/>
  <c r="H20" i="11"/>
  <c r="L19" i="11"/>
  <c r="K19" i="11"/>
  <c r="J19" i="11"/>
  <c r="I19" i="11"/>
  <c r="H19" i="11"/>
  <c r="L18" i="11"/>
  <c r="K18" i="11"/>
  <c r="J18" i="11"/>
  <c r="I18" i="11"/>
  <c r="H18" i="11"/>
  <c r="L33" i="11"/>
  <c r="K33" i="11"/>
  <c r="L32" i="11"/>
  <c r="K32" i="11"/>
  <c r="L31" i="11"/>
  <c r="K31" i="11"/>
  <c r="L30" i="11"/>
  <c r="K30" i="11"/>
  <c r="L29" i="11"/>
  <c r="K29" i="11"/>
  <c r="L28" i="11"/>
  <c r="K28" i="11"/>
  <c r="L44" i="11"/>
  <c r="K44" i="11"/>
  <c r="J44" i="11"/>
  <c r="I44" i="11"/>
  <c r="L43" i="11"/>
  <c r="K43" i="11"/>
  <c r="J43" i="11"/>
  <c r="I43" i="11"/>
  <c r="L42" i="11"/>
  <c r="K42" i="11"/>
  <c r="J42" i="11"/>
  <c r="I42" i="11"/>
  <c r="L41" i="11"/>
  <c r="K41" i="11"/>
  <c r="J41" i="11"/>
  <c r="I41" i="11"/>
  <c r="L40" i="11"/>
  <c r="K40" i="11"/>
  <c r="J40" i="11"/>
  <c r="I40" i="11"/>
  <c r="L39" i="11"/>
  <c r="K39" i="11"/>
  <c r="J39" i="11"/>
  <c r="I39" i="11"/>
  <c r="L38" i="11"/>
  <c r="K38" i="11"/>
  <c r="J38" i="11"/>
  <c r="I38" i="11"/>
  <c r="L54" i="11"/>
  <c r="K54" i="11"/>
  <c r="L53" i="11"/>
  <c r="K53" i="11"/>
  <c r="L52" i="11"/>
  <c r="K52" i="11"/>
  <c r="L51" i="11"/>
  <c r="K51" i="11"/>
  <c r="L50" i="11"/>
  <c r="K50" i="11"/>
  <c r="L49" i="11"/>
  <c r="K49" i="11"/>
  <c r="L48" i="11"/>
  <c r="K48" i="11"/>
  <c r="J64" i="11"/>
  <c r="I64" i="11"/>
  <c r="H64" i="11"/>
  <c r="G64" i="11"/>
  <c r="F64" i="11"/>
  <c r="E64" i="11"/>
  <c r="J63" i="11"/>
  <c r="I63" i="11"/>
  <c r="H63" i="11"/>
  <c r="G63" i="11"/>
  <c r="F63" i="11"/>
  <c r="E63" i="11"/>
  <c r="J62" i="11"/>
  <c r="I62" i="11"/>
  <c r="H62" i="11"/>
  <c r="G62" i="11"/>
  <c r="F62" i="11"/>
  <c r="E62" i="11"/>
  <c r="J61" i="11"/>
  <c r="I61" i="11"/>
  <c r="H61" i="11"/>
  <c r="G61" i="11"/>
  <c r="F61" i="11"/>
  <c r="E61" i="11"/>
  <c r="J60" i="11"/>
  <c r="I60" i="11"/>
  <c r="H60" i="11"/>
  <c r="G60" i="11"/>
  <c r="F60" i="11"/>
  <c r="E60" i="11"/>
  <c r="J59" i="11"/>
  <c r="I59" i="11"/>
  <c r="H59" i="11"/>
  <c r="G59" i="11"/>
  <c r="F59" i="11"/>
  <c r="E59" i="11"/>
  <c r="J58" i="11"/>
  <c r="I58" i="11"/>
  <c r="H58" i="11"/>
  <c r="G58" i="11"/>
  <c r="F58" i="11"/>
  <c r="E58" i="11"/>
  <c r="M54" i="11"/>
  <c r="M53" i="11"/>
  <c r="M52" i="11"/>
  <c r="M51" i="11"/>
  <c r="M50" i="11"/>
  <c r="M49" i="11"/>
  <c r="M48" i="11"/>
  <c r="M44" i="11"/>
  <c r="M43" i="11"/>
  <c r="M42" i="11"/>
  <c r="M41" i="11"/>
  <c r="M40" i="11"/>
  <c r="M39" i="11"/>
  <c r="M38" i="11"/>
  <c r="M33" i="11"/>
  <c r="M32" i="11"/>
  <c r="M31" i="11"/>
  <c r="M30" i="11"/>
  <c r="M29" i="11"/>
  <c r="M28" i="11"/>
  <c r="M23" i="11"/>
  <c r="M22" i="11"/>
  <c r="M21" i="11"/>
  <c r="M20" i="11"/>
  <c r="M19" i="11"/>
  <c r="M18" i="11"/>
  <c r="Q64" i="11"/>
  <c r="Q63" i="11"/>
  <c r="Q62" i="11"/>
  <c r="Q61" i="11"/>
  <c r="Q60" i="11"/>
  <c r="Q59" i="11"/>
  <c r="Q58" i="11"/>
  <c r="Q54" i="11"/>
  <c r="Q53" i="11"/>
  <c r="Q52" i="11"/>
  <c r="Q51" i="11"/>
  <c r="Q50" i="11"/>
  <c r="Q49" i="11"/>
  <c r="Q48" i="11"/>
  <c r="Q44" i="11"/>
  <c r="Q43" i="11"/>
  <c r="Q42" i="11"/>
  <c r="Q41" i="11"/>
  <c r="Q40" i="11"/>
  <c r="Q39" i="11"/>
  <c r="Q38" i="11"/>
  <c r="Q33" i="11"/>
  <c r="Q32" i="11"/>
  <c r="Q31" i="11"/>
  <c r="Q30" i="11"/>
  <c r="Q29" i="11"/>
  <c r="Q28" i="11"/>
  <c r="Q23" i="11"/>
  <c r="Q22" i="11"/>
  <c r="Q21" i="11"/>
  <c r="Q20" i="11"/>
  <c r="Q19" i="11"/>
  <c r="Q18" i="11"/>
  <c r="N31" i="11" l="1"/>
  <c r="S31" i="11" s="1"/>
  <c r="N41" i="11"/>
  <c r="S41" i="11" s="1"/>
  <c r="N33" i="11"/>
  <c r="S33" i="11" s="1"/>
  <c r="N59" i="11"/>
  <c r="S59" i="11" s="1"/>
  <c r="N63" i="11"/>
  <c r="S63" i="11" s="1"/>
  <c r="N54" i="11"/>
  <c r="S54" i="11" s="1"/>
  <c r="N51" i="11"/>
  <c r="S51" i="11" s="1"/>
  <c r="N32" i="11"/>
  <c r="R32" i="11" s="1"/>
  <c r="N23" i="11"/>
  <c r="S23" i="11" s="1"/>
  <c r="N48" i="11"/>
  <c r="R48" i="11" s="1"/>
  <c r="N52" i="11"/>
  <c r="S52" i="11" s="1"/>
  <c r="N49" i="11"/>
  <c r="R49" i="11" s="1"/>
  <c r="N39" i="11"/>
  <c r="S39" i="11" s="1"/>
  <c r="N58" i="11"/>
  <c r="S58" i="11" s="1"/>
  <c r="N62" i="11"/>
  <c r="S62" i="11" s="1"/>
  <c r="N64" i="11"/>
  <c r="R64" i="11" s="1"/>
  <c r="N21" i="11"/>
  <c r="S21" i="11" s="1"/>
  <c r="N38" i="11"/>
  <c r="R38" i="11" s="1"/>
  <c r="N29" i="11"/>
  <c r="S29" i="11" s="1"/>
  <c r="N28" i="11"/>
  <c r="S28" i="11" s="1"/>
  <c r="N19" i="11"/>
  <c r="S19" i="11" s="1"/>
  <c r="N18" i="11"/>
  <c r="N60" i="11"/>
  <c r="R60" i="11" s="1"/>
  <c r="N50" i="11"/>
  <c r="R50" i="11" s="1"/>
  <c r="N40" i="11"/>
  <c r="S40" i="11" s="1"/>
  <c r="N30" i="11"/>
  <c r="S30" i="11" s="1"/>
  <c r="N20" i="11"/>
  <c r="S20" i="11" s="1"/>
  <c r="N22" i="11"/>
  <c r="S22" i="11" s="1"/>
  <c r="N43" i="11"/>
  <c r="R43" i="11" s="1"/>
  <c r="N42" i="11"/>
  <c r="R42" i="11" s="1"/>
  <c r="N44" i="11"/>
  <c r="R44" i="11" s="1"/>
  <c r="N53" i="11"/>
  <c r="S53" i="11" s="1"/>
  <c r="N61" i="11"/>
  <c r="S61" i="11" s="1"/>
  <c r="R31" i="11" l="1"/>
  <c r="T31" i="11" s="1"/>
  <c r="S48" i="11"/>
  <c r="R41" i="11"/>
  <c r="T41" i="11" s="1"/>
  <c r="R33" i="11"/>
  <c r="T33" i="11" s="1"/>
  <c r="S32" i="11"/>
  <c r="S27" i="11" s="1"/>
  <c r="R59" i="11"/>
  <c r="T59" i="11" s="1"/>
  <c r="R63" i="11"/>
  <c r="T63" i="11" s="1"/>
  <c r="R39" i="11"/>
  <c r="T39" i="11" s="1"/>
  <c r="R51" i="11"/>
  <c r="T51" i="11" s="1"/>
  <c r="R54" i="11"/>
  <c r="T54" i="11" s="1"/>
  <c r="S49" i="11"/>
  <c r="S18" i="11"/>
  <c r="S17" i="11" s="1"/>
  <c r="N67" i="11"/>
  <c r="R52" i="11"/>
  <c r="T52" i="11" s="1"/>
  <c r="S42" i="11"/>
  <c r="T42" i="11" s="1"/>
  <c r="S38" i="11"/>
  <c r="R58" i="11"/>
  <c r="S64" i="11"/>
  <c r="T64" i="11" s="1"/>
  <c r="R21" i="11"/>
  <c r="T21" i="11" s="1"/>
  <c r="R23" i="11"/>
  <c r="T23" i="11" s="1"/>
  <c r="R53" i="11"/>
  <c r="T53" i="11" s="1"/>
  <c r="R62" i="11"/>
  <c r="T62" i="11" s="1"/>
  <c r="S60" i="11"/>
  <c r="T60" i="11" s="1"/>
  <c r="R22" i="11"/>
  <c r="T22" i="11" s="1"/>
  <c r="R28" i="11"/>
  <c r="R29" i="11"/>
  <c r="T29" i="11" s="1"/>
  <c r="R19" i="11"/>
  <c r="T19" i="11" s="1"/>
  <c r="R18" i="11"/>
  <c r="S50" i="11"/>
  <c r="T50" i="11" s="1"/>
  <c r="R40" i="11"/>
  <c r="T40" i="11" s="1"/>
  <c r="R30" i="11"/>
  <c r="T30" i="11" s="1"/>
  <c r="R20" i="11"/>
  <c r="T20" i="11" s="1"/>
  <c r="S43" i="11"/>
  <c r="T43" i="11" s="1"/>
  <c r="S44" i="11"/>
  <c r="T44" i="11" s="1"/>
  <c r="R61" i="11"/>
  <c r="T61" i="11" s="1"/>
  <c r="S37" i="11" l="1"/>
  <c r="R57" i="11"/>
  <c r="R27" i="11"/>
  <c r="S57" i="11"/>
  <c r="R37" i="11"/>
  <c r="R17" i="11"/>
  <c r="T48" i="11"/>
  <c r="S47" i="11"/>
  <c r="R47" i="11"/>
  <c r="T32" i="11"/>
  <c r="T49" i="11"/>
  <c r="T18" i="11"/>
  <c r="T17" i="11"/>
  <c r="T58" i="11"/>
  <c r="T38" i="11"/>
  <c r="T28" i="11"/>
  <c r="T27" i="11"/>
  <c r="T47" i="11" l="1"/>
  <c r="S67" i="11"/>
  <c r="R67" i="11"/>
  <c r="T57" i="11"/>
  <c r="T37" i="11"/>
  <c r="T67" i="11" l="1"/>
</calcChain>
</file>

<file path=xl/sharedStrings.xml><?xml version="1.0" encoding="utf-8"?>
<sst xmlns="http://schemas.openxmlformats.org/spreadsheetml/2006/main" count="251" uniqueCount="140">
  <si>
    <t>№ п/п</t>
  </si>
  <si>
    <t>Наименование</t>
  </si>
  <si>
    <t>Ед. изм.</t>
  </si>
  <si>
    <t>Примечание</t>
  </si>
  <si>
    <t>Материалы</t>
  </si>
  <si>
    <t>СМР</t>
  </si>
  <si>
    <t>Итого</t>
  </si>
  <si>
    <t>ВСЕГО затрат на выполнение полного комплекса работ:</t>
  </si>
  <si>
    <t xml:space="preserve">ПРИМЕЧАНИЕ: </t>
  </si>
  <si>
    <t>Объект посетили, с ситуацией на объекте ознакомлены.</t>
  </si>
  <si>
    <t>-заполняемые ячейки!</t>
  </si>
  <si>
    <t>Код</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</si>
  <si>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</si>
  <si>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Общая стоимость, руб. 
(в т.ч. НДС 20%)</t>
  </si>
  <si>
    <t>Цена за единицу, руб. 
(в т.ч. НДС 20%)</t>
  </si>
  <si>
    <t>Численность ИТР и рабочих, необходимых для производства работ:  ИТР - ______ чел. (указать), рабочие - ______ чел. (указать)</t>
  </si>
  <si>
    <t>1.1</t>
  </si>
  <si>
    <t>1.2</t>
  </si>
  <si>
    <t>1.3</t>
  </si>
  <si>
    <t>1.4</t>
  </si>
  <si>
    <t>С текстом договора подряда ознакомлены и согласны заключить договор на условиях, предложенных Генподрядчиком на тендере.</t>
  </si>
  <si>
    <t xml:space="preserve">Кол-во </t>
  </si>
  <si>
    <t>B 04.08.02</t>
  </si>
  <si>
    <t xml:space="preserve">Срок производства работ: ____________ календарных дней (указать), Начало и окончание работ: ____________ (указать)
</t>
  </si>
  <si>
    <t>Работы выполнять в соответствии с рабочей документацией, руководствоваться техническими требованиями Заказчика (ЧТУ), действующими правовыми и техническими нормами (СНиП, СП, ГОСТ, СанПиН, ФЗ, РД и прочими нормативными документами).</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</si>
  <si>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учесть в стоимости СМР.
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t>
  </si>
  <si>
    <t>До начала производства работ Субподрядчик согласовывает RAL полимерного покрытия оцинкованной кровельной стали (кровля, окрытие парапетов, водосточные желоба и пр.) с Заказчиком, Генподрядчиком и Генпроектировщиком.</t>
  </si>
  <si>
    <t>- устройство верхнего гидроизоляционного слоя по ТУ АР-ГИ-1 п. 5, с учетом примыканий,</t>
  </si>
  <si>
    <t>- устройство нижнего гидроизоляционного слоя по ТУ АР-ГИ-1 п. 4, с учетом примыканий,</t>
  </si>
  <si>
    <t>- огрунтовка битумным праймером по ТУ АР-ГИ-1 п. 1,</t>
  </si>
  <si>
    <t xml:space="preserve">- устройство оклеечной пароизоляции из 1 слоя наплавляемого материала по ТУ АР-ГИ-1 п. 2 и 3, со свободной укладкой, со сваркой швов, </t>
  </si>
  <si>
    <t>- огрунтовка битумным праймером вертикальных поверхностей по ТУ-АР-ГИ-1 п.1.</t>
  </si>
  <si>
    <t>- пароизоляция из пленки полиэтиленовой 200 мкм в 1 слой,</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</si>
  <si>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</si>
  <si>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особыми условиями, указанными в письме-приглашении на участие в тендере, согласны.</t>
  </si>
  <si>
    <t>м2</t>
  </si>
  <si>
    <t>- устройство молниеприемной сетки 10х10м из арматуры диам. 8 AI на специальных держателях шагом не более 1м,</t>
  </si>
  <si>
    <t>- укладка геотекстиля иглопробивного плотностью 150 г/м2 по верхнему слою гидроизоляционного ковра, на 100 мм шире дорожек с каждой стороны.</t>
  </si>
  <si>
    <t>на выполнение полного комплекса работ по устройству кровли жилых домов</t>
  </si>
  <si>
    <t>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</si>
  <si>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r>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t>
    </r>
    <r>
      <rPr>
        <sz val="14"/>
        <rFont val="Times New Roman"/>
        <family val="1"/>
        <charset val="204"/>
      </rPr>
      <t>;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 Субгенподрядчику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 Субгенподрядчиком; подготовка и передача Генподрядчику / 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 / Субгенподрядчику  / 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r>
  </si>
  <si>
    <t>1.5</t>
  </si>
  <si>
    <r>
      <t>- устройство цементно-песчаной стяжки М100, с армированием арм. сеткой диам. 4 ВрI 100х100 толщ. 40 мм или ХЦЛ толщ. 10 мм в два слоя с разбежкой швов не менее 500 мм толщ. 20 мм</t>
    </r>
    <r>
      <rPr>
        <b/>
        <sz val="14"/>
        <rFont val="Times New Roman"/>
        <family val="1"/>
        <charset val="204"/>
      </rPr>
      <t xml:space="preserve"> с устройством слоя системы контроля целостности кровли «Контролит» между слоями ХЦЛ,</t>
    </r>
  </si>
  <si>
    <t>Наименование организации: ________________________</t>
  </si>
  <si>
    <t>ИНН  ______________________________________________</t>
  </si>
  <si>
    <t>Дата подачи коммерческого предложения: "____ " __________ 2024 г.</t>
  </si>
  <si>
    <t>Комплекс работ по устройству основной кровли здания (тип К1)</t>
  </si>
  <si>
    <t>Комплекс работ по устройству ходовых дорожек на основной кровле здания (тип К3)</t>
  </si>
  <si>
    <t>1.6</t>
  </si>
  <si>
    <t>1.7</t>
  </si>
  <si>
    <t>1.8</t>
  </si>
  <si>
    <t>1.9</t>
  </si>
  <si>
    <t>2.1</t>
  </si>
  <si>
    <t>2.2</t>
  </si>
  <si>
    <t>2.3</t>
  </si>
  <si>
    <t>2.4</t>
  </si>
  <si>
    <t>2.5</t>
  </si>
  <si>
    <t>2.6</t>
  </si>
  <si>
    <t>2.7</t>
  </si>
  <si>
    <t>2.8</t>
  </si>
  <si>
    <t>2.9</t>
  </si>
  <si>
    <t>- устройство окрытия из оцинкованной стали 0,5 мм, с полимерным покрытием;</t>
  </si>
  <si>
    <t>- уклонообразующий слой из гравия керамзитового у=600 кг/м3 со стабилизацией цементным молоком по уклону - толщ. 20…250 мм, с выравниванием поверхности, с учетом примыкания,</t>
  </si>
  <si>
    <t>Состав работ по устройству основной кровли здания (тип К1):</t>
  </si>
  <si>
    <t>3.1</t>
  </si>
  <si>
    <t>3.2</t>
  </si>
  <si>
    <t>- устройство покрытия из тротуарной бетонной плитки 350х350х30 мм, с разбежкой 50 мм,</t>
  </si>
  <si>
    <t>- устройство цементно-песчаной стяжки М100, с армированием арм. сеткой диам. 4 ВрI 100х100 толщ. 40 мм,</t>
  </si>
  <si>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3"/>
        <rFont val="Times New Roman"/>
        <family val="1"/>
        <charset val="204"/>
      </rPr>
      <t xml:space="preserve">- выполнение всего комплекса работ, указанного в рабочей документации и сопутствующих работ, требуемых для ввода объекта в эксплуатацию и последующей передачи правообладателям (участникам долевого строительства и СКС),
- организация строительного производства в соответствии со СНиП 12-03-2001 "Безопасность труда в строительстве",
- выполнение и согласование с Заказчиком и Генпроектировщиком проекта КМД (до начала производства работ) по устройству кровли, а также всех узлов кровли,
- устройство кровли, в т.ч. устройство всех узлов примыканий кровельного "пирога" к парапетам кровли, надстройкам на кровле, стенам выходов на кровлю, вентшахтам, вентиляторам дымоудаления и подпора воздуха, фундаментам и деф. швам, козырьков над лоджиями и балконами последнего этажа, стволам мусоропроводов, стоякам ОВ и ВК, ТВ-мачтам, антеннам и пр. выходам инженерных коммуникаций на кровле и т.п.,
- теплоизоляция вертикальных поверхностей вент. шахт, вертикальной поверхности ЛЛУ, деф. швов, в том числе, в случае необходимости, утепление парапетов в соответствии с Альбомом (комплектом типовых узлов для предотвращения промерзания конструктивных элементов здания) ООО «АБ «Сэтл Сити», и т.д. на высоту заведения гидроизоляционного ковра,
- комплекс работ по устройству изделий из оцинкованной стали с полимерным покрытием, в т.ч.: окрытия основного парапета, парапеты лестнично-лифтового узла, выходов на кровлю, фартуки по периметру примыканий кровли ко всем надстройкам, фартуки отверстий ВШ, фартуки по периметру ВШ, фартуки по периметру вент. оборудования, фартуки окрытия деф. шва  устройство фартука/козырька по периметру монтажного стакана под вентиляторы и дефлекторыи т.п.,
- устройство кровельных аэраторов (дефлекторов), в т.ч. узел примыкания к гидроизоляционному "ковру" (количество и раскладку уточнить у фирмы-производителя после выбора модели, согласовать с Заказчиком),
- устройство молниезащиты, продухов для вентиляции кровли,
- устройство оголовков вент. шахт (металлический каркас, зонт из оцинкованной кровельной стали с полимерным покрытием) и сеток по периметру стоек зонта (в случае необходимости),
- устройство наружного водостока с кровли ЛЛУ на основную кровлю (водосточные трубы, воронки, желоба, отливы из оцинкованной стали с полимерным покрытием, обмазочная гидроизоляция по контуру отверстий прохода через парапет и пр.),
</t>
    </r>
    <r>
      <rPr>
        <b/>
        <sz val="13"/>
        <rFont val="Times New Roman"/>
        <family val="1"/>
        <charset val="204"/>
      </rPr>
      <t>- устройство дождеприемных воронок с электрообогревом (стоимость воронок и их монтаж), в т.ч. узел примыкания к гидроизоляционному "ковру",</t>
    </r>
    <r>
      <rPr>
        <sz val="13"/>
        <rFont val="Times New Roman"/>
        <family val="1"/>
        <charset val="204"/>
      </rPr>
      <t xml:space="preserve">
- устройство тепляков и электрообогрев стяжек при производстве работ в зимнее время (в случае выполнения стяжки из ЦПР),
</t>
    </r>
    <r>
      <rPr>
        <b/>
        <sz val="13"/>
        <rFont val="Times New Roman"/>
        <family val="1"/>
        <charset val="204"/>
      </rPr>
      <t xml:space="preserve">- устройство фартука из оцинкованной кровельной стали по периметру парапета кровли для защиты фасадного утеплителя,                                                                                                                                                                                                                                                                                                                                                                                                                                                                                                                                                                                                                                                                    </t>
    </r>
    <r>
      <rPr>
        <sz val="13"/>
        <rFont val="Times New Roman"/>
        <family val="1"/>
        <charset val="204"/>
      </rPr>
      <t xml:space="preserve">
- заполнение полостей между внутренними перегородками вентиляционных шахт сухим керамзитовым гравием с последующим устройством над полостями цементно-песчаной стяжки М100,                                                                              
</t>
    </r>
    <r>
      <rPr>
        <b/>
        <sz val="13"/>
        <rFont val="Times New Roman"/>
        <family val="1"/>
        <charset val="204"/>
      </rPr>
      <t xml:space="preserve">- применение стяжки из цементно-песчаного раствора М100 в период проведения работ с мая по сентябрь включительно, применение в качестве стяжки двуслойного хризотил-цементного листа (ХЦЛ) в зависимости от погодных условий с октября по апрель на основании письменного согласования с Генподрядчиком (в соответствии с Распоряжением №10 «О применении стяжек в конструкциях кровли» от 27.07.2020 г.),
- проведение проверки целостности изоляции кровли методом сверхточной инструментальной диагностики «Изотест» с использованием диагностического оборудования “K-systems group” и получением положительного экспертного заключения, подтверждающего отсутствие дефектов кровли (подписание итогового акта сдачи-приёмки работ по договору осуществляется только при наличии положительного экспертного заключения), с применением контрольно-разделительного слоя «Контролит» в случае выполнения в зимний период «сухой» стяжки из листовых материалов типа ХЦЛ в соответствии с рекомендациями производителя “K-systems group”.
</t>
    </r>
  </si>
  <si>
    <t>Корпус 1.1 (секции 1.1-1.3)</t>
  </si>
  <si>
    <t>Корпус 1.1 (секции 2.1-2.6)</t>
  </si>
  <si>
    <t>Корпус 1.1 (секции 3.1-3.4)</t>
  </si>
  <si>
    <t>Корпус 1.1 (секции 4.1-4.6)</t>
  </si>
  <si>
    <t>Корпус 1.2 (секции 1-3)</t>
  </si>
  <si>
    <t>С1</t>
  </si>
  <si>
    <t>С2</t>
  </si>
  <si>
    <t>С3</t>
  </si>
  <si>
    <t>С4</t>
  </si>
  <si>
    <t>С5</t>
  </si>
  <si>
    <t>С6</t>
  </si>
  <si>
    <t>Корпус 1.1</t>
  </si>
  <si>
    <t>Корпус 1.2</t>
  </si>
  <si>
    <t>Комплекс работ по устройству кровли вентшахт при установке оборудования (тип К5)</t>
  </si>
  <si>
    <t>Комплекс работ по устройству кровли внутри вентшахт (утепление плиты покрытия внутри шахт) (тип К6)</t>
  </si>
  <si>
    <t>Комплекс работ по устройству кровли вентшахт без оборудования, с раскрытием (тип К7)</t>
  </si>
  <si>
    <t>Комплекс работ по устройству кровли над лифтовыми шахтами (тип К2)</t>
  </si>
  <si>
    <t>3.3</t>
  </si>
  <si>
    <t>3.4</t>
  </si>
  <si>
    <t>3.5</t>
  </si>
  <si>
    <t>3.6</t>
  </si>
  <si>
    <t>3.7</t>
  </si>
  <si>
    <t>4.1</t>
  </si>
  <si>
    <t>4.2</t>
  </si>
  <si>
    <t>4.3</t>
  </si>
  <si>
    <t>4.4</t>
  </si>
  <si>
    <t>4.5</t>
  </si>
  <si>
    <t>4.6</t>
  </si>
  <si>
    <t>- теплоизоляция из пенополистирола экструзионного: верхний слой из пенополистирола экструзионного по ТУ АР-ТЗИ-1 п. 4, толщ. 50 мм,</t>
  </si>
  <si>
    <t>- теплоизоляция из пенополистирола экструзионного: нижний слой из пенополистирола экструзионного по ТУ АР-ТЗИ-1 п. 3, толщ. 100 мм,</t>
  </si>
  <si>
    <t>Комплекс работ по устройству кровли на козырьках балконов (тип К8)</t>
  </si>
  <si>
    <t>5.6</t>
  </si>
  <si>
    <t>5.3</t>
  </si>
  <si>
    <t>3.8</t>
  </si>
  <si>
    <t>5.2</t>
  </si>
  <si>
    <t>4.7</t>
  </si>
  <si>
    <t>4.8</t>
  </si>
  <si>
    <t>5.1</t>
  </si>
  <si>
    <t>5.4</t>
  </si>
  <si>
    <t>5.5</t>
  </si>
  <si>
    <t>5.7</t>
  </si>
  <si>
    <t>5.8</t>
  </si>
  <si>
    <t>ЧТУ Заказчика</t>
  </si>
  <si>
    <t>на объекте: Многоквартирные жилые дома со встроенными помещениями, встроенно-пристроенными дошкольными образовательными учреждениями и встроенно-пристроенной подземной автостоянкой, 
по адресу: г. Санкт-Петербург, ул. Кубинская, кад. номер земельного участка 78:14:0007558:8114</t>
  </si>
  <si>
    <t>Состав работ по устройству ходовых дорожек на основной кровле здания (тип К3):</t>
  </si>
  <si>
    <t>Состав работ по устройству кровли над лифтовыми шахтами (тип К2):</t>
  </si>
  <si>
    <r>
      <t xml:space="preserve">- устройство цементно-песчаной стяжки М100, по уклону 1,5%, с армированием арм. сеткой диам. 4 ВрI 100х100 толщ. 40...150 мм или ХЦЛ толщ. 10 мм в два слоя с разбежкой швов не менее 500 мм толщ. 20 мм </t>
    </r>
    <r>
      <rPr>
        <b/>
        <sz val="14"/>
        <rFont val="Times New Roman"/>
        <family val="1"/>
        <charset val="204"/>
      </rPr>
      <t>с устройством слоя системы контроля целостности кровли «Контролит» между слоями ХЦЛ,</t>
    </r>
  </si>
  <si>
    <t>- устройство цементно-песчаной стяжки М150, по уклону 1,5%, толщ. 20...40 мм,</t>
  </si>
  <si>
    <t>Состав работ по устройству кровли вентшахт при установке оборудования (тип К5):</t>
  </si>
  <si>
    <t>Состав работ по устройству кровли внутри вентшахт (утепление плиты покрытия внутри шахт) (тип К6):</t>
  </si>
  <si>
    <t>Состав работ по устройству кровли вентшахт без оборудования, с раскрытием (тип К7):</t>
  </si>
  <si>
    <t>- устройство цементно-песчаной стяжки М150, по уклону 1,5%, толщ. 20…50 мм,</t>
  </si>
  <si>
    <t>Состав работ по устройству кровли на козырьках балконов (тип К8):</t>
  </si>
  <si>
    <t>- устройство окрытия из оцинкованной стали 0,5 мм, с полимерным покрытием (цвет по ведомости фасадных материалов);</t>
  </si>
  <si>
    <t>м3</t>
  </si>
  <si>
    <t>3.9</t>
  </si>
  <si>
    <t>4.9</t>
  </si>
  <si>
    <t>5.9</t>
  </si>
  <si>
    <t>Засыпка гравием керамзитовым у=600 кг/м3</t>
  </si>
  <si>
    <t>- обмазочная гидроизоляция на цементной основе,</t>
  </si>
  <si>
    <t>- пароизоляция: обмазочная гидроизоляция на цементной основе,</t>
  </si>
  <si>
    <t>- огрунтовка битумным праймером по ТУ АР-ГИ-1 п. 1 (в зоне примыкания "стена-плита")</t>
  </si>
  <si>
    <t>- устройство нижнего гидроизоляционного слоя по ТУ АР-ГИ-1 п. 4, с учетом примыканий (в зоне примыкания "стена-плита"),</t>
  </si>
  <si>
    <t>Комплекс работ по устройству кровли вентшахт при подключении воздуховодов, без раскрытия (тип К4)</t>
  </si>
  <si>
    <t>Состав работ по устройству кровли вентшахт при подключении воздуховодов, без раскрытия (тип К4):</t>
  </si>
  <si>
    <t xml:space="preserve">Основание: 
РД шифры 151/01-09/22-1-АР1.2, 151/01-09/22-1-АР2.2,
151/01-09/22-1-АР3.2, 151/01-09/22-1-АР4.2, 151/01-09/22-2-АР1.2,
частично утвержденные "в производство работ",     </t>
  </si>
  <si>
    <r>
      <t xml:space="preserve">РАСЧЕТ СТОИМОСТИ, </t>
    </r>
    <r>
      <rPr>
        <b/>
        <sz val="20"/>
        <color rgb="FFFF0000"/>
        <rFont val="Times New Roman"/>
        <family val="1"/>
        <charset val="204"/>
      </rPr>
      <t>изм.1 от 11.02.2025</t>
    </r>
  </si>
  <si>
    <r>
      <t xml:space="preserve">- теплоизоляция из плиты минераловатной: </t>
    </r>
    <r>
      <rPr>
        <sz val="14"/>
        <color rgb="FFFF0000"/>
        <rFont val="Times New Roman"/>
        <family val="1"/>
        <charset val="204"/>
      </rPr>
      <t>верхний</t>
    </r>
    <r>
      <rPr>
        <sz val="14"/>
        <rFont val="Times New Roman"/>
        <family val="1"/>
        <charset val="204"/>
      </rPr>
      <t xml:space="preserve"> слой из плиты минераловатной по ТУ АР-ТЗИ-1 </t>
    </r>
    <r>
      <rPr>
        <sz val="14"/>
        <color rgb="FFFF0000"/>
        <rFont val="Times New Roman"/>
        <family val="1"/>
        <charset val="204"/>
      </rPr>
      <t>п. 2</t>
    </r>
    <r>
      <rPr>
        <sz val="14"/>
        <rFont val="Times New Roman"/>
        <family val="1"/>
        <charset val="204"/>
      </rPr>
      <t>, толщ. 200 мм,</t>
    </r>
  </si>
  <si>
    <r>
      <t xml:space="preserve">- теплоизоляция из плиты минераловатной: </t>
    </r>
    <r>
      <rPr>
        <sz val="14"/>
        <color rgb="FFFF0000"/>
        <rFont val="Times New Roman"/>
        <family val="1"/>
        <charset val="204"/>
      </rPr>
      <t>верхний</t>
    </r>
    <r>
      <rPr>
        <sz val="14"/>
        <rFont val="Times New Roman"/>
        <family val="1"/>
        <charset val="204"/>
      </rPr>
      <t xml:space="preserve"> слой из плиты минераловатной по ТУ АР-ТЗИ-1 </t>
    </r>
    <r>
      <rPr>
        <sz val="14"/>
        <color rgb="FFFF0000"/>
        <rFont val="Times New Roman"/>
        <family val="1"/>
        <charset val="204"/>
      </rPr>
      <t>п. 2</t>
    </r>
    <r>
      <rPr>
        <sz val="14"/>
        <rFont val="Times New Roman"/>
        <family val="1"/>
        <charset val="204"/>
      </rPr>
      <t>, толщ. 100 мм,</t>
    </r>
  </si>
  <si>
    <r>
      <t xml:space="preserve">- теплоизоляция из плиты минераловатной: </t>
    </r>
    <r>
      <rPr>
        <sz val="14"/>
        <color rgb="FFFF0000"/>
        <rFont val="Times New Roman"/>
        <family val="1"/>
        <charset val="204"/>
      </rPr>
      <t>верхний</t>
    </r>
    <r>
      <rPr>
        <sz val="14"/>
        <rFont val="Times New Roman"/>
        <family val="1"/>
        <charset val="204"/>
      </rPr>
      <t xml:space="preserve"> слой из плиты минераловатной по ТУ АР-ТЗИ-1 </t>
    </r>
    <r>
      <rPr>
        <sz val="14"/>
        <color rgb="FFFF0000"/>
        <rFont val="Times New Roman"/>
        <family val="1"/>
        <charset val="204"/>
      </rPr>
      <t>п. 2</t>
    </r>
    <r>
      <rPr>
        <sz val="14"/>
        <rFont val="Times New Roman"/>
        <family val="1"/>
        <charset val="204"/>
      </rPr>
      <t>, толщ. 150 мм,</t>
    </r>
  </si>
  <si>
    <t>В расчете стоимости учтены генподрядные услуги в размере 0,5 % от общей стоимости выполняемых Субподрядчиком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</si>
</sst>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_-* #,##0.00\ _₽_-;\-* #,##0.00\ _₽_-;_-* &quot;-&quot;??\ _₽_-;_-@_-"/>
    <numFmt numFmtId="165" formatCode="#,##0\ &quot;р.&quot;;\-#,##0\ &quot;р.&quot;"/>
    <numFmt numFmtId="166" formatCode="&quot; &quot;#,##0.00&quot;    &quot;;&quot;-&quot;#,##0.00&quot;    &quot;;&quot; -&quot;#&quot;    &quot;;&quot; &quot;@&quot; &quot;"/>
    <numFmt numFmtId="167" formatCode="_-* #,##0.00[$€-1]_-;\-* #,##0.00[$€-1]_-;_-* &quot;-&quot;??[$€-1]_-"/>
    <numFmt numFmtId="168" formatCode="_-* #,##0.00&quot;р.&quot;_-;\-* #,##0.00&quot;р.&quot;_-;_-* &quot;-&quot;??&quot;р.&quot;_-;_-@_-"/>
    <numFmt numFmtId="169" formatCode="_-* #,##0\ _р_._-;\-* #,##0\ _р_._-;_-* &quot;-&quot;\ _р_._-;_-@_-"/>
    <numFmt numFmtId="170" formatCode="_-* #,##0.00\ _р_._-;\-* #,##0.00\ _р_._-;_-* &quot;-&quot;??\ _р_._-;_-@_-"/>
    <numFmt numFmtId="171" formatCode="_-* #,##0.00_р_._-;\-* #,##0.00_р_._-;_-* &quot;-&quot;??_р_._-;_-@_-"/>
    <numFmt numFmtId="172" formatCode="#,##0.0"/>
  </numFmts>
  <fonts count="52" x14ac:knownFonts="1">
    <font>
      <sz val="11"/>
      <color theme="1"/>
      <name val="Calibri"/>
      <family val="2"/>
      <charset val="204"/>
      <scheme val="minor"/>
    </font>
    <font>
      <sz val="11"/>
      <color theme="1"/>
      <name val="Calibri"/>
      <family val="2"/>
      <charset val="204"/>
      <scheme val="minor"/>
    </font>
    <font>
      <sz val="11"/>
      <name val="Times New Roman"/>
      <family val="1"/>
      <charset val="204"/>
    </font>
    <font>
      <b/>
      <sz val="11"/>
      <name val="Times New Roman"/>
      <family val="1"/>
      <charset val="204"/>
    </font>
    <font>
      <sz val="11"/>
      <name val="Arial"/>
      <family val="2"/>
      <charset val="204"/>
    </font>
    <font>
      <b/>
      <sz val="12"/>
      <name val="Times New Roman"/>
      <family val="1"/>
      <charset val="204"/>
    </font>
    <font>
      <i/>
      <sz val="11"/>
      <name val="Times New Roman"/>
      <family val="1"/>
      <charset val="204"/>
    </font>
    <font>
      <sz val="10"/>
      <name val="Times New Roman"/>
      <family val="1"/>
      <charset val="204"/>
    </font>
    <font>
      <sz val="10"/>
      <name val="Arial"/>
      <family val="2"/>
      <charset val="204"/>
    </font>
    <font>
      <sz val="11"/>
      <color rgb="FF000000"/>
      <name val="Arial Cyr"/>
      <charset val="204"/>
    </font>
    <font>
      <u/>
      <sz val="10"/>
      <color indexed="36"/>
      <name val="Arial Cyr"/>
      <charset val="204"/>
    </font>
    <font>
      <b/>
      <sz val="20"/>
      <name val="Arial"/>
      <family val="2"/>
      <charset val="204"/>
    </font>
    <font>
      <sz val="10"/>
      <name val="Arial Cyr"/>
      <charset val="204"/>
    </font>
    <font>
      <sz val="8"/>
      <name val="Arial"/>
      <family val="2"/>
    </font>
    <font>
      <sz val="11"/>
      <color theme="1"/>
      <name val="Calibri"/>
      <family val="2"/>
      <scheme val="minor"/>
    </font>
    <font>
      <sz val="10"/>
      <name val="Helv"/>
    </font>
    <font>
      <sz val="10"/>
      <name val="Arial Cyr"/>
    </font>
    <font>
      <sz val="11"/>
      <color indexed="8"/>
      <name val="Calibri"/>
      <family val="2"/>
    </font>
    <font>
      <sz val="11"/>
      <color indexed="8"/>
      <name val="Calibri"/>
      <family val="2"/>
      <charset val="204"/>
    </font>
    <font>
      <sz val="10"/>
      <color indexed="8"/>
      <name val="Arial Cyr"/>
      <family val="2"/>
      <charset val="204"/>
    </font>
    <font>
      <sz val="12"/>
      <name val="Times New Roman"/>
      <family val="1"/>
      <charset val="204"/>
    </font>
    <font>
      <b/>
      <sz val="14"/>
      <name val="Times New Roman"/>
      <family val="1"/>
      <charset val="204"/>
    </font>
    <font>
      <b/>
      <sz val="10"/>
      <name val="Times New Roman"/>
      <family val="1"/>
      <charset val="204"/>
    </font>
    <font>
      <b/>
      <sz val="13"/>
      <name val="Times New Roman"/>
      <family val="1"/>
      <charset val="204"/>
    </font>
    <font>
      <sz val="12"/>
      <name val="Arial Cyr"/>
      <charset val="204"/>
    </font>
    <font>
      <sz val="17"/>
      <name val="Arial"/>
      <family val="2"/>
      <charset val="204"/>
    </font>
    <font>
      <sz val="15"/>
      <name val="Arial"/>
      <family val="2"/>
      <charset val="204"/>
    </font>
    <font>
      <sz val="11"/>
      <name val="Calibri"/>
      <family val="2"/>
      <charset val="204"/>
      <scheme val="minor"/>
    </font>
    <font>
      <sz val="14"/>
      <name val="Times New Roman"/>
      <family val="1"/>
      <charset val="204"/>
    </font>
    <font>
      <b/>
      <sz val="13"/>
      <color rgb="FFFF0000"/>
      <name val="Times New Roman"/>
      <family val="1"/>
      <charset val="204"/>
    </font>
    <font>
      <sz val="11"/>
      <color rgb="FFFF0000"/>
      <name val="Times New Roman"/>
      <family val="1"/>
      <charset val="204"/>
    </font>
    <font>
      <b/>
      <sz val="20"/>
      <name val="Times New Roman"/>
      <family val="1"/>
      <charset val="204"/>
    </font>
    <font>
      <b/>
      <sz val="16"/>
      <name val="Times New Roman"/>
      <family val="1"/>
      <charset val="204"/>
    </font>
    <font>
      <b/>
      <sz val="17"/>
      <name val="Times New Roman"/>
      <family val="1"/>
      <charset val="204"/>
    </font>
    <font>
      <sz val="10"/>
      <color rgb="FFFF0000"/>
      <name val="Times New Roman"/>
      <family val="1"/>
      <charset val="204"/>
    </font>
    <font>
      <sz val="11"/>
      <color rgb="FFFF0000"/>
      <name val="Arial"/>
      <family val="2"/>
      <charset val="204"/>
    </font>
    <font>
      <b/>
      <sz val="11"/>
      <color rgb="FFFF0000"/>
      <name val="Times New Roman"/>
      <family val="1"/>
      <charset val="204"/>
    </font>
    <font>
      <b/>
      <sz val="14"/>
      <color rgb="FFFF0000"/>
      <name val="Times New Roman"/>
      <family val="1"/>
      <charset val="204"/>
    </font>
    <font>
      <b/>
      <sz val="12"/>
      <color rgb="FFFF0000"/>
      <name val="Times New Roman"/>
      <family val="1"/>
      <charset val="204"/>
    </font>
    <font>
      <i/>
      <sz val="11"/>
      <color rgb="FFFF0000"/>
      <name val="Times New Roman"/>
      <family val="1"/>
      <charset val="204"/>
    </font>
    <font>
      <sz val="12"/>
      <color rgb="FFFF0000"/>
      <name val="Arial Cyr"/>
      <charset val="204"/>
    </font>
    <font>
      <sz val="18"/>
      <name val="Times New Roman"/>
      <family val="1"/>
      <charset val="204"/>
    </font>
    <font>
      <sz val="12"/>
      <color rgb="FF0000FF"/>
      <name val="Times New Roman"/>
      <family val="1"/>
      <charset val="204"/>
    </font>
    <font>
      <sz val="13"/>
      <name val="Times New Roman"/>
      <family val="1"/>
      <charset val="204"/>
    </font>
    <font>
      <sz val="13"/>
      <color rgb="FFFF0000"/>
      <name val="Times New Roman"/>
      <family val="1"/>
      <charset val="204"/>
    </font>
    <font>
      <sz val="14"/>
      <color rgb="FFFF0000"/>
      <name val="Times New Roman"/>
      <family val="1"/>
      <charset val="204"/>
    </font>
    <font>
      <b/>
      <sz val="18"/>
      <name val="Times New Roman"/>
      <family val="1"/>
      <charset val="204"/>
    </font>
    <font>
      <sz val="12"/>
      <color rgb="FF0070C0"/>
      <name val="Arial Cyr"/>
      <charset val="204"/>
    </font>
    <font>
      <sz val="12"/>
      <color rgb="FFFF0000"/>
      <name val="Times New Roman"/>
      <family val="1"/>
      <charset val="204"/>
    </font>
    <font>
      <b/>
      <sz val="15"/>
      <name val="Times New Roman"/>
      <family val="1"/>
      <charset val="204"/>
    </font>
    <font>
      <sz val="18"/>
      <color rgb="FFFF0000"/>
      <name val="Times New Roman"/>
      <family val="1"/>
      <charset val="204"/>
    </font>
    <font>
      <b/>
      <sz val="20"/>
      <color rgb="FFFF0000"/>
      <name val="Times New Roman"/>
      <family val="1"/>
      <charset val="204"/>
    </font>
  </fonts>
  <fills count="5">
    <fill>
      <patternFill patternType="none"/>
    </fill>
    <fill>
      <patternFill patternType="gray125"/>
    </fill>
    <fill>
      <patternFill patternType="solid">
        <fgColor theme="8" tint="0.59999389629810485"/>
        <bgColor indexed="64"/>
      </patternFill>
    </fill>
    <fill>
      <patternFill patternType="solid">
        <fgColor rgb="FFCCFFFF"/>
        <bgColor indexed="64"/>
      </patternFill>
    </fill>
    <fill>
      <patternFill patternType="solid">
        <fgColor rgb="FFC6E0B4"/>
        <bgColor indexed="64"/>
      </patternFill>
    </fill>
  </fills>
  <borders count="43">
    <border>
      <left/>
      <right/>
      <top/>
      <bottom/>
      <diagonal/>
    </border>
    <border>
      <left style="medium">
        <color indexed="64"/>
      </left>
      <right style="thin">
        <color auto="1"/>
      </right>
      <top style="medium">
        <color auto="1"/>
      </top>
      <bottom/>
      <diagonal/>
    </border>
    <border>
      <left style="thin">
        <color indexed="64"/>
      </left>
      <right/>
      <top style="medium">
        <color indexed="64"/>
      </top>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auto="1"/>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auto="1"/>
      </left>
      <right/>
      <top style="thin">
        <color auto="1"/>
      </top>
      <bottom style="thin">
        <color indexed="64"/>
      </bottom>
      <diagonal/>
    </border>
    <border>
      <left/>
      <right style="thin">
        <color indexed="64"/>
      </right>
      <top style="thin">
        <color auto="1"/>
      </top>
      <bottom style="thin">
        <color indexed="64"/>
      </bottom>
      <diagonal/>
    </border>
    <border>
      <left style="medium">
        <color auto="1"/>
      </left>
      <right/>
      <top/>
      <bottom style="thin">
        <color auto="1"/>
      </bottom>
      <diagonal/>
    </border>
    <border>
      <left/>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medium">
        <color indexed="64"/>
      </left>
      <right/>
      <top style="medium">
        <color auto="1"/>
      </top>
      <bottom/>
      <diagonal/>
    </border>
    <border>
      <left style="medium">
        <color indexed="64"/>
      </left>
      <right/>
      <top style="medium">
        <color indexed="64"/>
      </top>
      <bottom style="medium">
        <color indexed="64"/>
      </bottom>
      <diagonal/>
    </border>
    <border>
      <left style="thin">
        <color auto="1"/>
      </left>
      <right style="thin">
        <color indexed="64"/>
      </right>
      <top style="medium">
        <color indexed="64"/>
      </top>
      <bottom style="medium">
        <color indexed="64"/>
      </bottom>
      <diagonal/>
    </border>
    <border>
      <left/>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s>
  <cellStyleXfs count="41">
    <xf numFmtId="0" fontId="0" fillId="0" borderId="0"/>
    <xf numFmtId="0" fontId="7" fillId="0" borderId="0"/>
    <xf numFmtId="38" fontId="8" fillId="0" borderId="0" applyFont="0" applyFill="0" applyBorder="0" applyAlignment="0" applyProtection="0"/>
    <xf numFmtId="165" fontId="8" fillId="0" borderId="0" applyFont="0" applyFill="0" applyBorder="0" applyAlignment="0" applyProtection="0"/>
    <xf numFmtId="166" fontId="9" fillId="0" borderId="0" applyFont="0" applyBorder="0" applyProtection="0"/>
    <xf numFmtId="167" fontId="10" fillId="0" borderId="0" applyNumberFormat="0" applyFill="0" applyBorder="0" applyAlignment="0" applyProtection="0">
      <alignment vertical="top"/>
      <protection locked="0"/>
    </xf>
    <xf numFmtId="167" fontId="11" fillId="0" borderId="0" applyNumberFormat="0" applyFill="0" applyBorder="0" applyAlignment="0" applyProtection="0"/>
    <xf numFmtId="168" fontId="7" fillId="0" borderId="0" applyFont="0" applyFill="0" applyBorder="0" applyAlignment="0" applyProtection="0"/>
    <xf numFmtId="168" fontId="7" fillId="0" borderId="0" applyFont="0" applyFill="0" applyBorder="0" applyAlignment="0" applyProtection="0"/>
    <xf numFmtId="168" fontId="12" fillId="0" borderId="0" applyFont="0" applyFill="0" applyBorder="0" applyAlignment="0" applyProtection="0"/>
    <xf numFmtId="0" fontId="1" fillId="0" borderId="0"/>
    <xf numFmtId="0" fontId="1" fillId="0" borderId="0"/>
    <xf numFmtId="0" fontId="12" fillId="0" borderId="0"/>
    <xf numFmtId="0" fontId="12" fillId="0" borderId="0"/>
    <xf numFmtId="0" fontId="1" fillId="0" borderId="0"/>
    <xf numFmtId="0" fontId="7" fillId="0" borderId="0"/>
    <xf numFmtId="0" fontId="8" fillId="0" borderId="0"/>
    <xf numFmtId="0" fontId="12" fillId="0" borderId="0"/>
    <xf numFmtId="0" fontId="7" fillId="0" borderId="0"/>
    <xf numFmtId="0" fontId="7" fillId="0" borderId="0"/>
    <xf numFmtId="0" fontId="1" fillId="0" borderId="0"/>
    <xf numFmtId="0" fontId="7" fillId="0" borderId="0"/>
    <xf numFmtId="0" fontId="12" fillId="0" borderId="0"/>
    <xf numFmtId="0" fontId="13" fillId="0" borderId="0"/>
    <xf numFmtId="0" fontId="1" fillId="0" borderId="0"/>
    <xf numFmtId="0" fontId="14" fillId="0" borderId="0"/>
    <xf numFmtId="0" fontId="15" fillId="0" borderId="0"/>
    <xf numFmtId="169" fontId="16" fillId="0" borderId="0" applyFont="0" applyFill="0" applyBorder="0" applyAlignment="0" applyProtection="0"/>
    <xf numFmtId="170" fontId="16" fillId="0" borderId="0" applyFont="0" applyFill="0" applyBorder="0" applyAlignment="0" applyProtection="0"/>
    <xf numFmtId="171" fontId="12" fillId="0" borderId="0" applyFont="0" applyFill="0" applyBorder="0" applyAlignment="0" applyProtection="0"/>
    <xf numFmtId="171" fontId="7" fillId="0" borderId="0" applyFont="0" applyFill="0" applyBorder="0" applyAlignment="0" applyProtection="0"/>
    <xf numFmtId="172" fontId="8" fillId="0" borderId="0" applyFill="0" applyBorder="0" applyAlignment="0" applyProtection="0"/>
    <xf numFmtId="171" fontId="12" fillId="0" borderId="0" applyFont="0" applyFill="0" applyBorder="0" applyAlignment="0" applyProtection="0"/>
    <xf numFmtId="171" fontId="12" fillId="0" borderId="0" applyFont="0" applyFill="0" applyBorder="0" applyAlignment="0" applyProtection="0"/>
    <xf numFmtId="171" fontId="17" fillId="0" borderId="0" applyFont="0" applyFill="0" applyBorder="0" applyAlignment="0" applyProtection="0"/>
    <xf numFmtId="171" fontId="7" fillId="0" borderId="0" applyFont="0" applyFill="0" applyBorder="0" applyAlignment="0" applyProtection="0"/>
    <xf numFmtId="171" fontId="7" fillId="0" borderId="0" applyFont="0" applyFill="0" applyBorder="0" applyAlignment="0" applyProtection="0"/>
    <xf numFmtId="171" fontId="18" fillId="0" borderId="0" applyFont="0" applyFill="0" applyBorder="0" applyAlignment="0" applyProtection="0"/>
    <xf numFmtId="171" fontId="19" fillId="0" borderId="0" applyFont="0" applyFill="0" applyBorder="0" applyAlignment="0" applyProtection="0"/>
    <xf numFmtId="171" fontId="14" fillId="0" borderId="0" applyFont="0" applyFill="0" applyBorder="0" applyAlignment="0" applyProtection="0"/>
    <xf numFmtId="164" fontId="1" fillId="0" borderId="0" applyFont="0" applyFill="0" applyBorder="0" applyAlignment="0" applyProtection="0"/>
  </cellStyleXfs>
  <cellXfs count="185">
    <xf numFmtId="0" fontId="0" fillId="0" borderId="0" xfId="0"/>
    <xf numFmtId="0" fontId="3" fillId="0" borderId="0" xfId="0" applyNumberFormat="1" applyFont="1" applyFill="1" applyBorder="1" applyAlignment="1">
      <alignment horizontal="left" vertical="center"/>
    </xf>
    <xf numFmtId="0" fontId="3" fillId="0" borderId="0" xfId="0" applyFont="1" applyAlignment="1"/>
    <xf numFmtId="0" fontId="2" fillId="0" borderId="0" xfId="0" applyFont="1"/>
    <xf numFmtId="0" fontId="4" fillId="0" borderId="0" xfId="0" applyFont="1" applyFill="1"/>
    <xf numFmtId="49" fontId="4" fillId="0" borderId="0" xfId="0" applyNumberFormat="1" applyFont="1" applyFill="1" applyAlignment="1">
      <alignment horizontal="left" vertical="top" wrapText="1"/>
    </xf>
    <xf numFmtId="0" fontId="2" fillId="0" borderId="0" xfId="0" applyFont="1" applyFill="1" applyBorder="1" applyAlignment="1">
      <alignment horizontal="center" wrapText="1"/>
    </xf>
    <xf numFmtId="0" fontId="2" fillId="0" borderId="0" xfId="0" applyFont="1" applyFill="1" applyBorder="1" applyAlignment="1">
      <alignment horizontal="center"/>
    </xf>
    <xf numFmtId="0" fontId="2" fillId="0" borderId="0" xfId="0" applyFont="1" applyFill="1" applyBorder="1" applyAlignment="1">
      <alignment horizontal="center" vertical="center"/>
    </xf>
    <xf numFmtId="0" fontId="6" fillId="0" borderId="0" xfId="0" applyFont="1" applyFill="1" applyBorder="1" applyAlignment="1">
      <alignment horizontal="left"/>
    </xf>
    <xf numFmtId="0" fontId="2" fillId="0" borderId="0" xfId="0" applyFont="1" applyFill="1"/>
    <xf numFmtId="0" fontId="5" fillId="0" borderId="0" xfId="0" applyFont="1" applyFill="1" applyAlignment="1">
      <alignment horizontal="center" vertical="center" wrapText="1"/>
    </xf>
    <xf numFmtId="0" fontId="22" fillId="2" borderId="8" xfId="0" applyFont="1" applyFill="1" applyBorder="1" applyAlignment="1">
      <alignment horizontal="center" vertical="center" wrapText="1"/>
    </xf>
    <xf numFmtId="0" fontId="3" fillId="0" borderId="0" xfId="0" quotePrefix="1" applyFont="1" applyBorder="1" applyAlignment="1">
      <alignment horizontal="left" vertical="center"/>
    </xf>
    <xf numFmtId="0" fontId="2" fillId="0" borderId="7" xfId="0" applyFont="1" applyFill="1" applyBorder="1" applyAlignment="1" applyProtection="1">
      <alignment horizontal="center" vertical="center" wrapText="1"/>
    </xf>
    <xf numFmtId="4" fontId="2" fillId="0" borderId="8" xfId="0" applyNumberFormat="1" applyFont="1" applyFill="1" applyBorder="1" applyAlignment="1" applyProtection="1">
      <alignment horizontal="center" vertical="center" wrapText="1"/>
    </xf>
    <xf numFmtId="164" fontId="2" fillId="0" borderId="9" xfId="40" applyFont="1" applyFill="1" applyBorder="1" applyAlignment="1">
      <alignment horizontal="center" vertical="center" wrapText="1"/>
    </xf>
    <xf numFmtId="164" fontId="2" fillId="0" borderId="7" xfId="40" applyFont="1" applyFill="1" applyBorder="1" applyAlignment="1" applyProtection="1">
      <alignment horizontal="center" vertical="center" wrapText="1"/>
    </xf>
    <xf numFmtId="164" fontId="2" fillId="0" borderId="8" xfId="40" applyFont="1" applyFill="1" applyBorder="1" applyAlignment="1" applyProtection="1">
      <alignment horizontal="center" vertical="center" wrapText="1"/>
    </xf>
    <xf numFmtId="0" fontId="20" fillId="0" borderId="13" xfId="0" applyFont="1" applyFill="1" applyBorder="1" applyAlignment="1">
      <alignment horizontal="left" vertical="center" wrapText="1"/>
    </xf>
    <xf numFmtId="0" fontId="20" fillId="0" borderId="11" xfId="0" applyFont="1" applyFill="1" applyBorder="1" applyAlignment="1">
      <alignment horizontal="center" vertical="center" wrapText="1"/>
    </xf>
    <xf numFmtId="0" fontId="20" fillId="0" borderId="0" xfId="0" applyFont="1" applyFill="1"/>
    <xf numFmtId="0" fontId="24" fillId="0" borderId="0" xfId="0" applyFont="1" applyFill="1"/>
    <xf numFmtId="0" fontId="7" fillId="0" borderId="0" xfId="0" applyFont="1" applyFill="1" applyAlignment="1">
      <alignment vertical="center" wrapText="1"/>
    </xf>
    <xf numFmtId="0" fontId="25" fillId="0" borderId="0" xfId="0" applyFont="1" applyFill="1"/>
    <xf numFmtId="0" fontId="26" fillId="0" borderId="0" xfId="0" applyFont="1" applyFill="1"/>
    <xf numFmtId="0" fontId="27" fillId="0" borderId="0" xfId="0" applyFont="1"/>
    <xf numFmtId="0" fontId="35" fillId="0" borderId="0" xfId="0" applyFont="1" applyFill="1"/>
    <xf numFmtId="0" fontId="30" fillId="0" borderId="0" xfId="0" applyFont="1" applyFill="1" applyBorder="1" applyAlignment="1">
      <alignment horizontal="center" vertical="center"/>
    </xf>
    <xf numFmtId="0" fontId="39" fillId="0" borderId="0" xfId="0" applyFont="1" applyFill="1" applyBorder="1" applyAlignment="1">
      <alignment horizontal="left"/>
    </xf>
    <xf numFmtId="0" fontId="30" fillId="0" borderId="0" xfId="0" applyFont="1" applyFill="1" applyBorder="1" applyAlignment="1">
      <alignment horizontal="center" wrapText="1"/>
    </xf>
    <xf numFmtId="0" fontId="30" fillId="0" borderId="0" xfId="0" applyFont="1" applyFill="1" applyBorder="1" applyAlignment="1">
      <alignment horizontal="center"/>
    </xf>
    <xf numFmtId="164" fontId="35" fillId="0" borderId="0" xfId="40" applyFont="1" applyFill="1"/>
    <xf numFmtId="164" fontId="30" fillId="0" borderId="0" xfId="40" applyFont="1" applyAlignment="1"/>
    <xf numFmtId="0" fontId="30" fillId="0" borderId="0" xfId="0" applyFont="1" applyFill="1"/>
    <xf numFmtId="0" fontId="36" fillId="0" borderId="0" xfId="0" applyFont="1" applyFill="1" applyBorder="1" applyAlignment="1">
      <alignment vertical="center"/>
    </xf>
    <xf numFmtId="0" fontId="36" fillId="0" borderId="0" xfId="0" applyFont="1" applyFill="1" applyBorder="1" applyAlignment="1">
      <alignment horizontal="right" vertical="center" wrapText="1" indent="1"/>
    </xf>
    <xf numFmtId="0" fontId="36" fillId="0" borderId="0" xfId="0" applyFont="1" applyFill="1" applyBorder="1" applyAlignment="1">
      <alignment horizontal="center" vertical="center"/>
    </xf>
    <xf numFmtId="4" fontId="36" fillId="0" borderId="0" xfId="0" applyNumberFormat="1" applyFont="1" applyFill="1" applyBorder="1" applyAlignment="1">
      <alignment horizontal="center" vertical="center"/>
    </xf>
    <xf numFmtId="4" fontId="36" fillId="0" borderId="0" xfId="0" applyNumberFormat="1" applyFont="1" applyFill="1" applyBorder="1" applyAlignment="1" applyProtection="1">
      <alignment vertical="center"/>
    </xf>
    <xf numFmtId="164" fontId="36" fillId="0" borderId="0" xfId="40" applyFont="1" applyFill="1" applyBorder="1" applyAlignment="1" applyProtection="1">
      <alignment horizontal="center" vertical="center"/>
    </xf>
    <xf numFmtId="164" fontId="36" fillId="0" borderId="0" xfId="40" applyFont="1" applyFill="1" applyBorder="1" applyAlignment="1">
      <alignment horizontal="center" vertical="center"/>
    </xf>
    <xf numFmtId="0" fontId="36" fillId="0" borderId="0" xfId="0" applyFont="1" applyFill="1"/>
    <xf numFmtId="0" fontId="34" fillId="0" borderId="0" xfId="0" applyFont="1"/>
    <xf numFmtId="0" fontId="40" fillId="0" borderId="0" xfId="0" applyFont="1" applyFill="1"/>
    <xf numFmtId="0" fontId="30" fillId="0" borderId="0" xfId="0" applyFont="1" applyFill="1" applyAlignment="1">
      <alignment horizontal="center" vertical="center"/>
    </xf>
    <xf numFmtId="0" fontId="30" fillId="0" borderId="0" xfId="0" applyFont="1" applyFill="1" applyBorder="1" applyAlignment="1" applyProtection="1"/>
    <xf numFmtId="4" fontId="30" fillId="0" borderId="0" xfId="0" applyNumberFormat="1" applyFont="1" applyFill="1" applyBorder="1" applyAlignment="1" applyProtection="1"/>
    <xf numFmtId="164" fontId="30" fillId="0" borderId="0" xfId="40" applyFont="1" applyFill="1"/>
    <xf numFmtId="164" fontId="30" fillId="0" borderId="0" xfId="40" applyFont="1" applyFill="1" applyAlignment="1">
      <alignment horizontal="center"/>
    </xf>
    <xf numFmtId="0" fontId="30" fillId="0" borderId="0" xfId="0" applyFont="1" applyFill="1" applyAlignment="1">
      <alignment wrapText="1"/>
    </xf>
    <xf numFmtId="0" fontId="3" fillId="0" borderId="0" xfId="0" applyFont="1" applyAlignment="1">
      <alignment horizontal="center"/>
    </xf>
    <xf numFmtId="0" fontId="2" fillId="0" borderId="9" xfId="0" applyFont="1" applyFill="1" applyBorder="1" applyAlignment="1">
      <alignment horizontal="center" vertical="center" wrapText="1"/>
    </xf>
    <xf numFmtId="0" fontId="28" fillId="0" borderId="20" xfId="17" applyFont="1" applyFill="1" applyBorder="1" applyAlignment="1">
      <alignment horizontal="center" vertical="center" wrapText="1"/>
    </xf>
    <xf numFmtId="0" fontId="2" fillId="0" borderId="20" xfId="0" applyFont="1" applyFill="1" applyBorder="1" applyAlignment="1">
      <alignment horizontal="center" vertical="center" wrapText="1"/>
    </xf>
    <xf numFmtId="0" fontId="41" fillId="0" borderId="0" xfId="0" applyFont="1"/>
    <xf numFmtId="0" fontId="41" fillId="0" borderId="0" xfId="0" applyFont="1" applyFill="1"/>
    <xf numFmtId="0" fontId="41" fillId="0" borderId="0" xfId="0" applyFont="1" applyFill="1" applyAlignment="1">
      <alignment horizontal="center" vertical="center"/>
    </xf>
    <xf numFmtId="0" fontId="41" fillId="0" borderId="0" xfId="0" applyFont="1" applyAlignment="1">
      <alignment horizontal="center" vertical="center"/>
    </xf>
    <xf numFmtId="0" fontId="41" fillId="0" borderId="0" xfId="0" applyFont="1" applyAlignment="1">
      <alignment horizontal="left" vertical="center"/>
    </xf>
    <xf numFmtId="0" fontId="5" fillId="0" borderId="0" xfId="0" applyFont="1" applyFill="1" applyBorder="1" applyAlignment="1">
      <alignment vertical="top" wrapText="1"/>
    </xf>
    <xf numFmtId="0" fontId="2" fillId="0" borderId="19" xfId="0" applyFont="1" applyFill="1" applyBorder="1" applyAlignment="1">
      <alignment horizontal="center" vertical="center" wrapText="1"/>
    </xf>
    <xf numFmtId="0" fontId="42" fillId="0" borderId="0" xfId="0" applyFont="1" applyFill="1" applyAlignment="1">
      <alignment vertical="center" wrapText="1"/>
    </xf>
    <xf numFmtId="0" fontId="28" fillId="0" borderId="0" xfId="0" applyFont="1" applyAlignment="1">
      <alignment vertical="top"/>
    </xf>
    <xf numFmtId="0" fontId="28" fillId="0" borderId="0" xfId="0" applyFont="1" applyFill="1"/>
    <xf numFmtId="0" fontId="29" fillId="0" borderId="0" xfId="0" applyFont="1" applyFill="1" applyBorder="1" applyAlignment="1">
      <alignment horizontal="left" vertical="top" indent="1"/>
    </xf>
    <xf numFmtId="0" fontId="38" fillId="0" borderId="0" xfId="0" applyFont="1" applyFill="1" applyBorder="1" applyAlignment="1">
      <alignment horizontal="left" vertical="center" indent="1"/>
    </xf>
    <xf numFmtId="0" fontId="43" fillId="0" borderId="0" xfId="0" applyFont="1" applyFill="1" applyBorder="1" applyAlignment="1">
      <alignment horizontal="left" vertical="top" indent="1"/>
    </xf>
    <xf numFmtId="0" fontId="21" fillId="0" borderId="0" xfId="0" applyFont="1" applyFill="1" applyAlignment="1">
      <alignment horizontal="left" vertical="top" indent="1"/>
    </xf>
    <xf numFmtId="0" fontId="43" fillId="0" borderId="0" xfId="0" applyNumberFormat="1" applyFont="1" applyFill="1" applyAlignment="1">
      <alignment horizontal="right" vertical="top"/>
    </xf>
    <xf numFmtId="2" fontId="20" fillId="0" borderId="20" xfId="0" applyNumberFormat="1" applyFont="1" applyFill="1" applyBorder="1" applyAlignment="1">
      <alignment horizontal="center" vertical="center" wrapText="1"/>
    </xf>
    <xf numFmtId="0" fontId="45" fillId="0" borderId="0" xfId="0" applyFont="1" applyFill="1"/>
    <xf numFmtId="0" fontId="45" fillId="0" borderId="0" xfId="0" applyFont="1" applyFill="1" applyAlignment="1">
      <alignment wrapText="1"/>
    </xf>
    <xf numFmtId="0" fontId="45" fillId="0" borderId="0" xfId="0" applyFont="1" applyFill="1" applyAlignment="1">
      <alignment horizontal="center" vertical="center"/>
    </xf>
    <xf numFmtId="2" fontId="47" fillId="0" borderId="0" xfId="0" applyNumberFormat="1" applyFont="1" applyFill="1"/>
    <xf numFmtId="49" fontId="3" fillId="0" borderId="0" xfId="0" applyNumberFormat="1" applyFont="1" applyFill="1" applyBorder="1" applyAlignment="1">
      <alignment horizontal="left" vertical="center" wrapText="1" indent="1"/>
    </xf>
    <xf numFmtId="49" fontId="3" fillId="0" borderId="0" xfId="0" applyNumberFormat="1" applyFont="1" applyFill="1" applyBorder="1" applyAlignment="1">
      <alignment horizontal="left" vertical="center"/>
    </xf>
    <xf numFmtId="0" fontId="2" fillId="0" borderId="22" xfId="0" applyFont="1" applyFill="1" applyBorder="1" applyAlignment="1">
      <alignment horizontal="center" vertical="center" wrapText="1"/>
    </xf>
    <xf numFmtId="0" fontId="48" fillId="0" borderId="12" xfId="0" applyFont="1" applyFill="1" applyBorder="1" applyAlignment="1">
      <alignment horizontal="center" vertical="center"/>
    </xf>
    <xf numFmtId="2" fontId="20" fillId="0" borderId="21" xfId="0" applyNumberFormat="1" applyFont="1" applyFill="1" applyBorder="1" applyAlignment="1">
      <alignment horizontal="center" vertical="center" wrapText="1"/>
    </xf>
    <xf numFmtId="0" fontId="49" fillId="3" borderId="27" xfId="0" applyFont="1" applyFill="1" applyBorder="1" applyAlignment="1">
      <alignment vertical="center"/>
    </xf>
    <xf numFmtId="0" fontId="5" fillId="3" borderId="28" xfId="0" applyFont="1" applyFill="1" applyBorder="1" applyAlignment="1">
      <alignment horizontal="center" vertical="center" wrapText="1"/>
    </xf>
    <xf numFmtId="0" fontId="49" fillId="3" borderId="29" xfId="0" applyFont="1" applyFill="1" applyBorder="1" applyAlignment="1">
      <alignment horizontal="right" vertical="center" wrapText="1" indent="1"/>
    </xf>
    <xf numFmtId="0" fontId="5" fillId="3" borderId="28" xfId="0" applyFont="1" applyFill="1" applyBorder="1" applyAlignment="1">
      <alignment horizontal="center" vertical="center"/>
    </xf>
    <xf numFmtId="0" fontId="5" fillId="3" borderId="29" xfId="0" applyFont="1" applyFill="1" applyBorder="1" applyAlignment="1">
      <alignment horizontal="center" vertical="center"/>
    </xf>
    <xf numFmtId="4" fontId="5" fillId="3" borderId="32" xfId="0" applyNumberFormat="1" applyFont="1" applyFill="1" applyBorder="1" applyAlignment="1">
      <alignment horizontal="center" vertical="center"/>
    </xf>
    <xf numFmtId="4" fontId="5" fillId="3" borderId="30" xfId="0" applyNumberFormat="1" applyFont="1" applyFill="1" applyBorder="1" applyAlignment="1" applyProtection="1">
      <alignment vertical="center"/>
    </xf>
    <xf numFmtId="2" fontId="5" fillId="3" borderId="31" xfId="40" applyNumberFormat="1" applyFont="1" applyFill="1" applyBorder="1" applyAlignment="1" applyProtection="1">
      <alignment horizontal="center" vertical="center"/>
    </xf>
    <xf numFmtId="2" fontId="21" fillId="3" borderId="28" xfId="40" applyNumberFormat="1" applyFont="1" applyFill="1" applyBorder="1" applyAlignment="1">
      <alignment horizontal="center" vertical="center"/>
    </xf>
    <xf numFmtId="2" fontId="21" fillId="3" borderId="31" xfId="40" applyNumberFormat="1" applyFont="1" applyFill="1" applyBorder="1" applyAlignment="1">
      <alignment horizontal="center" vertical="center"/>
    </xf>
    <xf numFmtId="4" fontId="49" fillId="3" borderId="33" xfId="0" applyNumberFormat="1" applyFont="1" applyFill="1" applyBorder="1" applyAlignment="1">
      <alignment horizontal="left" vertical="center"/>
    </xf>
    <xf numFmtId="49" fontId="20" fillId="0" borderId="10" xfId="0" quotePrefix="1" applyNumberFormat="1" applyFont="1" applyFill="1" applyBorder="1" applyAlignment="1">
      <alignment horizontal="center" vertical="center"/>
    </xf>
    <xf numFmtId="0" fontId="44" fillId="0" borderId="0" xfId="0" applyNumberFormat="1" applyFont="1" applyFill="1" applyAlignment="1">
      <alignment horizontal="right" vertical="top"/>
    </xf>
    <xf numFmtId="0" fontId="50" fillId="0" borderId="0" xfId="0" applyFont="1" applyFill="1" applyBorder="1" applyAlignment="1">
      <alignment horizontal="center" vertical="center"/>
    </xf>
    <xf numFmtId="4" fontId="20" fillId="2" borderId="10" xfId="21" applyNumberFormat="1" applyFont="1" applyFill="1" applyBorder="1" applyAlignment="1">
      <alignment horizontal="center" vertical="center" wrapText="1"/>
    </xf>
    <xf numFmtId="4" fontId="20" fillId="2" borderId="11" xfId="30" applyNumberFormat="1" applyFont="1" applyFill="1" applyBorder="1" applyAlignment="1">
      <alignment horizontal="center" vertical="center" wrapText="1"/>
    </xf>
    <xf numFmtId="2" fontId="20" fillId="0" borderId="14" xfId="40" applyNumberFormat="1" applyFont="1" applyFill="1" applyBorder="1" applyAlignment="1">
      <alignment horizontal="center" vertical="center" wrapText="1"/>
    </xf>
    <xf numFmtId="2" fontId="20" fillId="0" borderId="10" xfId="40" applyNumberFormat="1" applyFont="1" applyFill="1" applyBorder="1" applyAlignment="1">
      <alignment horizontal="center" vertical="center" wrapText="1"/>
    </xf>
    <xf numFmtId="2" fontId="20" fillId="0" borderId="11" xfId="4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39"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42"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1" fillId="4" borderId="7" xfId="0" applyFont="1" applyFill="1" applyBorder="1" applyAlignment="1">
      <alignment horizontal="center" vertical="center" wrapText="1"/>
    </xf>
    <xf numFmtId="0" fontId="37" fillId="4" borderId="8" xfId="0" applyFont="1" applyFill="1" applyBorder="1" applyAlignment="1">
      <alignment horizontal="center" vertical="center" wrapText="1"/>
    </xf>
    <xf numFmtId="0" fontId="21" fillId="4" borderId="8" xfId="0" applyFont="1" applyFill="1" applyBorder="1" applyAlignment="1">
      <alignment horizontal="left" vertical="center" wrapText="1"/>
    </xf>
    <xf numFmtId="0" fontId="30" fillId="4" borderId="8" xfId="0" applyFont="1" applyFill="1" applyBorder="1" applyAlignment="1">
      <alignment horizontal="center" vertical="center" wrapText="1"/>
    </xf>
    <xf numFmtId="2" fontId="37" fillId="4" borderId="19" xfId="0" applyNumberFormat="1" applyFont="1" applyFill="1" applyBorder="1" applyAlignment="1">
      <alignment horizontal="center" vertical="center" wrapText="1"/>
    </xf>
    <xf numFmtId="0" fontId="2" fillId="4" borderId="7"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8" xfId="0" applyFont="1" applyFill="1" applyBorder="1" applyAlignment="1">
      <alignment horizontal="center" vertical="center" wrapText="1"/>
    </xf>
    <xf numFmtId="2" fontId="21" fillId="4" borderId="19" xfId="0" applyNumberFormat="1" applyFont="1" applyFill="1" applyBorder="1" applyAlignment="1">
      <alignment horizontal="center" vertical="center" wrapText="1"/>
    </xf>
    <xf numFmtId="2" fontId="21" fillId="4" borderId="8" xfId="0" applyNumberFormat="1" applyFont="1" applyFill="1" applyBorder="1" applyAlignment="1">
      <alignment horizontal="center" vertical="center" wrapText="1"/>
    </xf>
    <xf numFmtId="2" fontId="21" fillId="4" borderId="20" xfId="0" applyNumberFormat="1" applyFont="1" applyFill="1" applyBorder="1" applyAlignment="1">
      <alignment horizontal="center" vertical="center" wrapText="1"/>
    </xf>
    <xf numFmtId="0" fontId="2" fillId="0" borderId="0" xfId="18" applyFont="1" applyFill="1" applyBorder="1" applyAlignment="1">
      <alignment vertical="center" wrapText="1"/>
    </xf>
    <xf numFmtId="2" fontId="21" fillId="3" borderId="27" xfId="40" applyNumberFormat="1" applyFont="1" applyFill="1" applyBorder="1" applyAlignment="1">
      <alignment horizontal="center" vertical="center"/>
    </xf>
    <xf numFmtId="0" fontId="41" fillId="0" borderId="0" xfId="0" applyFont="1" applyFill="1" applyAlignment="1">
      <alignment horizontal="left" vertical="center"/>
    </xf>
    <xf numFmtId="0" fontId="42" fillId="0" borderId="0" xfId="0" applyFont="1" applyFill="1" applyAlignment="1">
      <alignment horizontal="left" vertical="center" wrapText="1"/>
    </xf>
    <xf numFmtId="49" fontId="4" fillId="0" borderId="0" xfId="0" applyNumberFormat="1" applyFont="1" applyFill="1" applyAlignment="1">
      <alignment horizontal="left" vertical="center" wrapText="1"/>
    </xf>
    <xf numFmtId="0" fontId="4" fillId="0" borderId="0" xfId="0" applyFont="1" applyFill="1" applyAlignment="1">
      <alignment horizontal="left" vertical="center"/>
    </xf>
    <xf numFmtId="0" fontId="25" fillId="0" borderId="0" xfId="0" applyFont="1" applyFill="1" applyAlignment="1">
      <alignment horizontal="left" vertical="center"/>
    </xf>
    <xf numFmtId="0" fontId="26" fillId="0" borderId="0" xfId="0" applyFont="1" applyFill="1" applyAlignment="1">
      <alignment horizontal="left" vertical="center"/>
    </xf>
    <xf numFmtId="0" fontId="35" fillId="0" borderId="0" xfId="0" applyFont="1" applyFill="1" applyAlignment="1">
      <alignment horizontal="left" vertical="center"/>
    </xf>
    <xf numFmtId="0" fontId="2" fillId="0" borderId="0" xfId="0" applyFont="1" applyAlignment="1">
      <alignment horizontal="left" vertical="center"/>
    </xf>
    <xf numFmtId="0" fontId="2" fillId="0" borderId="0" xfId="0" applyFont="1" applyFill="1" applyAlignment="1">
      <alignment horizontal="left" vertical="center"/>
    </xf>
    <xf numFmtId="0" fontId="36" fillId="0" borderId="0" xfId="0" applyFont="1" applyFill="1" applyAlignment="1">
      <alignment horizontal="left" vertical="center"/>
    </xf>
    <xf numFmtId="0" fontId="20" fillId="0" borderId="0" xfId="0" applyFont="1" applyFill="1" applyAlignment="1">
      <alignment horizontal="left" vertical="center"/>
    </xf>
    <xf numFmtId="0" fontId="24" fillId="0" borderId="0" xfId="0" applyFont="1" applyFill="1" applyAlignment="1">
      <alignment horizontal="left" vertical="center"/>
    </xf>
    <xf numFmtId="0" fontId="5" fillId="0" borderId="0" xfId="0" applyFont="1" applyFill="1" applyBorder="1" applyAlignment="1">
      <alignment horizontal="left" vertical="center" wrapText="1"/>
    </xf>
    <xf numFmtId="0" fontId="40" fillId="0" borderId="0" xfId="0" applyFont="1" applyFill="1" applyAlignment="1">
      <alignment horizontal="left" vertical="center"/>
    </xf>
    <xf numFmtId="0" fontId="30" fillId="0" borderId="0" xfId="0" applyFont="1" applyFill="1" applyAlignment="1">
      <alignment horizontal="left" vertical="center"/>
    </xf>
    <xf numFmtId="0" fontId="41" fillId="0" borderId="0" xfId="0" applyFont="1" applyFill="1" applyAlignment="1">
      <alignment horizontal="left" vertical="center" wrapText="1"/>
    </xf>
    <xf numFmtId="0" fontId="23" fillId="0" borderId="0" xfId="0" quotePrefix="1" applyFont="1" applyFill="1" applyAlignment="1">
      <alignment horizontal="left" vertical="top" wrapText="1"/>
    </xf>
    <xf numFmtId="0" fontId="2" fillId="0" borderId="0" xfId="18" applyFont="1" applyFill="1" applyBorder="1" applyAlignment="1">
      <alignment horizontal="right" vertical="center"/>
    </xf>
    <xf numFmtId="0" fontId="23" fillId="0" borderId="0" xfId="0" quotePrefix="1" applyFont="1" applyFill="1" applyAlignment="1">
      <alignment horizontal="left" vertical="top" wrapText="1"/>
    </xf>
    <xf numFmtId="0" fontId="20" fillId="0" borderId="17" xfId="0" applyFont="1" applyFill="1" applyBorder="1" applyAlignment="1">
      <alignment horizontal="center" vertical="center" wrapText="1"/>
    </xf>
    <xf numFmtId="0" fontId="20" fillId="0" borderId="17" xfId="0" applyFont="1" applyFill="1" applyBorder="1" applyAlignment="1">
      <alignment horizontal="center" vertical="center" wrapText="1"/>
    </xf>
    <xf numFmtId="0" fontId="20" fillId="0" borderId="17" xfId="0" applyFont="1" applyFill="1" applyBorder="1" applyAlignment="1">
      <alignment horizontal="center" vertical="center" wrapText="1"/>
    </xf>
    <xf numFmtId="49" fontId="28" fillId="0" borderId="25" xfId="0" quotePrefix="1" applyNumberFormat="1" applyFont="1" applyFill="1" applyBorder="1" applyAlignment="1">
      <alignment horizontal="left" vertical="top" wrapText="1"/>
    </xf>
    <xf numFmtId="49" fontId="28" fillId="0" borderId="0" xfId="0" quotePrefix="1" applyNumberFormat="1" applyFont="1" applyFill="1" applyBorder="1" applyAlignment="1">
      <alignment horizontal="left" vertical="top" wrapText="1"/>
    </xf>
    <xf numFmtId="49" fontId="28" fillId="0" borderId="15" xfId="0" quotePrefix="1" applyNumberFormat="1" applyFont="1" applyFill="1" applyBorder="1" applyAlignment="1">
      <alignment horizontal="left" vertical="top" wrapText="1"/>
    </xf>
    <xf numFmtId="0" fontId="21" fillId="0" borderId="26" xfId="0" applyFont="1" applyFill="1" applyBorder="1" applyAlignment="1">
      <alignment horizontal="left" vertical="top" wrapText="1"/>
    </xf>
    <xf numFmtId="0" fontId="21" fillId="0" borderId="34" xfId="0" applyFont="1" applyFill="1" applyBorder="1" applyAlignment="1">
      <alignment horizontal="left" vertical="top" wrapText="1"/>
    </xf>
    <xf numFmtId="0" fontId="21" fillId="0" borderId="35" xfId="0" applyFont="1" applyFill="1" applyBorder="1" applyAlignment="1">
      <alignment horizontal="left" vertical="top" wrapText="1"/>
    </xf>
    <xf numFmtId="49" fontId="28" fillId="0" borderId="36" xfId="0" quotePrefix="1" applyNumberFormat="1" applyFont="1" applyFill="1" applyBorder="1" applyAlignment="1">
      <alignment horizontal="left" vertical="top" wrapText="1"/>
    </xf>
    <xf numFmtId="49" fontId="28" fillId="0" borderId="37" xfId="0" quotePrefix="1" applyNumberFormat="1" applyFont="1" applyFill="1" applyBorder="1" applyAlignment="1">
      <alignment horizontal="left" vertical="top" wrapText="1"/>
    </xf>
    <xf numFmtId="49" fontId="28" fillId="0" borderId="38" xfId="0" quotePrefix="1" applyNumberFormat="1" applyFont="1" applyFill="1" applyBorder="1" applyAlignment="1">
      <alignment horizontal="left" vertical="top" wrapText="1"/>
    </xf>
    <xf numFmtId="0" fontId="23" fillId="0" borderId="0" xfId="0" quotePrefix="1" applyFont="1" applyFill="1" applyAlignment="1">
      <alignment horizontal="left" vertical="top" wrapText="1"/>
    </xf>
    <xf numFmtId="0" fontId="23" fillId="0" borderId="0" xfId="0" applyFont="1" applyFill="1" applyAlignment="1">
      <alignment horizontal="left" vertical="top" wrapText="1"/>
    </xf>
    <xf numFmtId="0" fontId="28" fillId="0" borderId="0" xfId="0" applyFont="1" applyAlignment="1">
      <alignment horizontal="left" vertical="top" wrapText="1"/>
    </xf>
    <xf numFmtId="0" fontId="23" fillId="0" borderId="0" xfId="0" applyFont="1" applyFill="1" applyBorder="1" applyAlignment="1">
      <alignment horizontal="left" vertical="top" wrapText="1"/>
    </xf>
    <xf numFmtId="0" fontId="41" fillId="0" borderId="0" xfId="0" applyFont="1" applyFill="1" applyAlignment="1">
      <alignment horizontal="left" vertical="top" wrapText="1"/>
    </xf>
    <xf numFmtId="0" fontId="3" fillId="0" borderId="26" xfId="1" applyFont="1" applyFill="1" applyBorder="1" applyAlignment="1">
      <alignment horizontal="center" vertical="center" wrapText="1"/>
    </xf>
    <xf numFmtId="0" fontId="3" fillId="0" borderId="21" xfId="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164" fontId="3" fillId="0" borderId="3" xfId="40" applyFont="1" applyFill="1" applyBorder="1" applyAlignment="1">
      <alignment horizontal="center" vertical="center" wrapText="1"/>
    </xf>
    <xf numFmtId="164" fontId="3" fillId="0" borderId="4" xfId="40" applyFont="1" applyFill="1" applyBorder="1" applyAlignment="1">
      <alignment horizontal="center" vertical="center" wrapText="1"/>
    </xf>
    <xf numFmtId="164" fontId="3" fillId="0" borderId="5" xfId="40" applyFont="1" applyFill="1" applyBorder="1" applyAlignment="1">
      <alignment horizontal="center" vertical="center" wrapText="1"/>
    </xf>
    <xf numFmtId="4" fontId="3" fillId="0" borderId="16" xfId="0" applyNumberFormat="1" applyFont="1" applyFill="1" applyBorder="1" applyAlignment="1">
      <alignment horizontal="center" vertical="center" wrapText="1"/>
    </xf>
    <xf numFmtId="0" fontId="2" fillId="0" borderId="17" xfId="0" applyFont="1" applyFill="1" applyBorder="1" applyAlignment="1">
      <alignment horizontal="center" vertical="center" wrapText="1"/>
    </xf>
    <xf numFmtId="0" fontId="21" fillId="0" borderId="0" xfId="0" applyFont="1" applyAlignment="1">
      <alignment horizontal="left" vertical="top" wrapText="1"/>
    </xf>
    <xf numFmtId="0" fontId="37" fillId="0" borderId="0" xfId="13" applyFont="1" applyFill="1" applyBorder="1" applyAlignment="1">
      <alignment horizontal="left" vertical="top" wrapText="1"/>
    </xf>
    <xf numFmtId="0" fontId="28" fillId="0" borderId="40" xfId="17" applyFont="1" applyFill="1" applyBorder="1" applyAlignment="1">
      <alignment horizontal="center" vertical="center" wrapText="1"/>
    </xf>
    <xf numFmtId="0" fontId="28" fillId="0" borderId="23" xfId="17" applyFont="1" applyFill="1" applyBorder="1" applyAlignment="1">
      <alignment horizontal="center" vertical="center" wrapText="1"/>
    </xf>
    <xf numFmtId="0" fontId="28" fillId="0" borderId="24" xfId="17" applyFont="1" applyFill="1" applyBorder="1" applyAlignment="1">
      <alignment horizontal="center" vertical="center" wrapText="1"/>
    </xf>
    <xf numFmtId="0" fontId="21" fillId="0" borderId="0" xfId="0" applyFont="1" applyFill="1" applyBorder="1" applyAlignment="1">
      <alignment horizontal="left" vertical="top" wrapText="1"/>
    </xf>
    <xf numFmtId="0" fontId="28" fillId="0" borderId="0" xfId="0" applyFont="1" applyFill="1" applyAlignment="1">
      <alignment horizontal="left" vertical="top" wrapText="1"/>
    </xf>
    <xf numFmtId="0" fontId="3" fillId="0" borderId="1"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8" fillId="0" borderId="41" xfId="17" applyFont="1" applyFill="1" applyBorder="1" applyAlignment="1">
      <alignment horizontal="center" vertical="center" wrapText="1"/>
    </xf>
    <xf numFmtId="0" fontId="31" fillId="0" borderId="0" xfId="0" applyFont="1" applyFill="1" applyBorder="1" applyAlignment="1" applyProtection="1">
      <alignment horizontal="center" vertical="center" wrapText="1"/>
    </xf>
    <xf numFmtId="0" fontId="33" fillId="0" borderId="0" xfId="0" applyFont="1" applyFill="1" applyBorder="1" applyAlignment="1" applyProtection="1">
      <alignment horizontal="center" vertical="center" wrapText="1"/>
    </xf>
    <xf numFmtId="0" fontId="46"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18" applyFont="1" applyFill="1" applyBorder="1" applyAlignment="1">
      <alignment horizontal="right" vertical="top" wrapText="1"/>
    </xf>
    <xf numFmtId="0" fontId="2" fillId="0" borderId="0" xfId="18" applyFont="1" applyFill="1" applyBorder="1" applyAlignment="1">
      <alignment horizontal="right" vertical="top"/>
    </xf>
  </cellXfs>
  <cellStyles count="41">
    <cellStyle name="Comma [0]" xfId="2"/>
    <cellStyle name="Currency [0]" xfId="3"/>
    <cellStyle name="Excel_BuiltIn_Comma" xfId="4"/>
    <cellStyle name="Followed Hyperlink___03  " xfId="5"/>
    <cellStyle name="normal" xfId="6"/>
    <cellStyle name="Денежный 2" xfId="7"/>
    <cellStyle name="Денежный 2 12" xfId="8"/>
    <cellStyle name="Денежный 3" xfId="9"/>
    <cellStyle name="Обычный" xfId="0" builtinId="0"/>
    <cellStyle name="Обычный 10 2" xfId="10"/>
    <cellStyle name="Обычный 11" xfId="11"/>
    <cellStyle name="Обычный 12" xfId="12"/>
    <cellStyle name="Обычный 12 6" xfId="13"/>
    <cellStyle name="Обычный 18" xfId="14"/>
    <cellStyle name="Обычный 2" xfId="15"/>
    <cellStyle name="Обычный 2 13 2" xfId="16"/>
    <cellStyle name="Обычный 2 2" xfId="17"/>
    <cellStyle name="Обычный 2 2 47" xfId="18"/>
    <cellStyle name="Обычный 2 3" xfId="19"/>
    <cellStyle name="Обычный 22" xfId="20"/>
    <cellStyle name="Обычный 3" xfId="21"/>
    <cellStyle name="Обычный 4" xfId="22"/>
    <cellStyle name="Обычный 5" xfId="23"/>
    <cellStyle name="Обычный 50 2" xfId="1"/>
    <cellStyle name="Обычный 51" xfId="24"/>
    <cellStyle name="Обычный 6" xfId="25"/>
    <cellStyle name="Стиль 1" xfId="26"/>
    <cellStyle name="Тысячи [0]_27.02 скоррект. " xfId="27"/>
    <cellStyle name="Тысячи_27.02 скоррект. " xfId="28"/>
    <cellStyle name="Финансовый" xfId="40" builtinId="3"/>
    <cellStyle name="Финансовый 11" xfId="29"/>
    <cellStyle name="Финансовый 2" xfId="30"/>
    <cellStyle name="Финансовый 2 2" xfId="31"/>
    <cellStyle name="Финансовый 2 3" xfId="32"/>
    <cellStyle name="Финансовый 3" xfId="33"/>
    <cellStyle name="Финансовый 3 2" xfId="34"/>
    <cellStyle name="Финансовый 3 4" xfId="35"/>
    <cellStyle name="Финансовый 4" xfId="36"/>
    <cellStyle name="Финансовый 5" xfId="37"/>
    <cellStyle name="Финансовый 6" xfId="38"/>
    <cellStyle name="Финансовый 6 2" xfId="39"/>
  </cellStyles>
  <dxfs count="0"/>
  <tableStyles count="0" defaultTableStyle="TableStyleMedium2" defaultPivotStyle="PivotStyleLight16"/>
  <colors>
    <mruColors>
      <color rgb="FFCCFFFF"/>
      <color rgb="FFC6E0B4"/>
      <color rgb="FFFF2929"/>
      <color rgb="FFFF6161"/>
      <color rgb="FFFF7D7D"/>
      <color rgb="FFFF99FF"/>
      <color rgb="FFFF00FF"/>
      <color rgb="FF0000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calcChain" Target="calcChain.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externalLink" Target="externalLinks/externalLink28.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sharedStrings" Target="sharedString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styles" Target="style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externalLink" Target="externalLinks/externalLink30.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theme" Target="theme/theme1.xml"/><Relationship Id="rId8" Type="http://schemas.openxmlformats.org/officeDocument/2006/relationships/externalLink" Target="externalLinks/externalLink7.xml"/><Relationship Id="rId3"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0</xdr:col>
      <xdr:colOff>555625</xdr:colOff>
      <xdr:row>145</xdr:row>
      <xdr:rowOff>254000</xdr:rowOff>
    </xdr:from>
    <xdr:to>
      <xdr:col>2</xdr:col>
      <xdr:colOff>5181883</xdr:colOff>
      <xdr:row>150</xdr:row>
      <xdr:rowOff>218045</xdr:rowOff>
    </xdr:to>
    <xdr:sp macro="" textlink="">
      <xdr:nvSpPr>
        <xdr:cNvPr id="2" name="TextBox 1"/>
        <xdr:cNvSpPr txBox="1">
          <a:spLocks noChangeArrowheads="1"/>
        </xdr:cNvSpPr>
      </xdr:nvSpPr>
      <xdr:spPr bwMode="auto">
        <a:xfrm>
          <a:off x="555625" y="41487725"/>
          <a:ext cx="6112158" cy="1849995"/>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4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bortnikova/&#1052;&#1086;&#1080;%20&#1076;&#1086;&#1082;&#1091;&#1084;&#1077;&#1085;&#1090;&#1099;/&#1051;&#1072;&#1088;&#1080;&#1089;&#1072;/&#1043;&#1040;&#1043;&#1040;&#1056;&#1048;&#1053;&#1040;%207/&#1044;&#1054;&#1043;&#1054;&#1042;&#1054;&#1056;&#1040;/&#1044;&#1054;&#1043;&#1054;&#1042;&#1054;&#1056;%20&#1057;&#1101;&#1090;&#1083;%20&#1057;&#1080;&#1090;&#1080;/&#1044;&#1054;&#1055;&#1067;%20&#1047;&#1040;&#1050;&#1040;&#1047;&#1063;&#1048;&#1050;/&#1044;&#1057;%20&#8470;37/21.11.11/&#1053;&#1057;&#1050;-&#1052;&#1086;&#1085;&#1086;&#1083;&#1080;&#1090;/&#1044;&#1057;%2015.%20&#1056;&#1072;&#1073;&#1086;&#1090;&#1099;%20&#1087;&#1086;%20&#1072;&#1082;&#1090;&#1091;%20&#1086;&#1090;%2007.04.1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server\Documents%20and%20Settings\bortnikova\&#1052;&#1086;&#1080;%20&#1076;&#1086;&#1082;&#1091;&#1084;&#1077;&#1085;&#1090;&#1099;\&#1051;&#1072;&#1088;&#1080;&#1089;&#1072;\&#1043;&#1040;&#1043;&#1040;&#1056;&#1048;&#1053;&#1040;%207\&#1044;&#1054;&#1043;&#1054;&#1042;&#1054;&#1056;&#1040;\&#1044;&#1054;&#1043;&#1054;&#1042;&#1054;&#1056;%20&#1057;&#1101;&#1090;&#1083;%20&#1057;&#1080;&#1090;&#1080;\&#1044;&#1054;&#1055;&#1067;%20&#1047;&#1040;&#1050;&#1040;&#1047;&#1063;&#1048;&#1050;\&#1044;&#1057;%20&#8470;37\21.11.11\&#1053;&#1057;&#1050;-&#1052;&#1086;&#1085;&#1086;&#1083;&#1080;&#1090;\&#1044;&#1057;%2015.%20&#1056;&#1072;&#1073;&#1086;&#1090;&#1099;%20&#1087;&#1086;%20&#1072;&#1082;&#1090;&#1091;%20&#1086;&#1090;%2007.04.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Mironova_NA/&#1041;&#1072;&#1088;&#1088;&#1080;&#1082;&#1072;&#1076;&#1072;%203%20&#1086;&#1095;%20&#1089;&#1090;&#1072;&#1088;&#1086;&#1077;/Users/Chernova_IA/AppData/Local/Microsoft/Windows/Temporary%20Internet%20Files/Content.Outlook/MD5VS00Q/&#1057;&#1054;_%20&#1044;&#1054;&#1059;_%20&#1055;&#1088;&#1080;&#1083;&#1086;&#1078;&#1077;&#1080;&#1077;%2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Mironova_NA\Downloads\&#1087;&#1072;&#1088;&#1082;&#1080;&#1085;&#1075;%20&#1087;&#1091;&#1089;&#1082;%209%20&#1050;&#1091;&#1076;&#1088;&#1086;&#1074;&#108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Chernova_IA\Desktop\&#1041;&#1102;&#1076;&#1078;&#1077;&#1090;&#1099;\&#1055;&#1088;&#1080;&#1084;&#1086;&#1088;&#1089;&#1082;&#1080;&#1081;%2046\&#1041;&#1102;&#1076;&#1078;&#1077;&#1090;%20&#1055;&#1088;&#1080;&#1084;&#1086;&#1088;&#1089;&#1082;&#1080;&#1081;%2022.07.14.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Chernova_IA\Desktop\&#1041;&#1102;&#1076;&#1078;&#1077;&#1090;&#1099;\&#1053;&#1086;&#1074;&#1086;-&#1057;&#1077;&#1088;&#1075;&#1080;&#1077;&#1074;&#1086;\&#1041;&#1102;&#1076;&#1078;&#1077;&#1090;%20&#1053;&#1086;&#1074;&#1086;-&#1057;&#1077;&#1088;&#1075;&#1080;&#1077;&#1074;&#1086;%2029%2009%2014.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82;%20&#1090;&#1077;&#1085;&#1076;&#1077;&#1088;&#1091;/&#1041;&#1102;&#1076;&#1078;&#1077;&#1090;&#1099;/&#1041;&#1072;&#1088;&#1088;&#1080;&#1082;&#1072;&#1076;&#1072;/&#1062;&#1055;/&#1041;&#1072;&#1088;&#1088;&#1080;&#1082;&#1072;&#1076;&#1072;%202%20&#1086;&#1095;/&#1050;&#1086;&#1087;&#1080;&#1103;%20&#1041;&#1102;&#1076;&#1078;&#1077;&#1090;%20&#1069;&#1085;&#1077;&#1088;&#1075;&#1077;&#1090;&#1080;&#1082;&#1086;&#1074;2_28.09.15.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oci/&#1050;&#1083;&#1080;&#1084;&#1086;&#1074;%20&#1042;.&#1042;/&#1084;&#1086;&#1080;%20&#1086;&#1073;&#1098;&#1077;&#1082;&#1090;&#1099;/&#1056;&#1078;&#1077;&#1074;&#1082;&#1072;-&#1055;&#1086;&#1088;&#1086;&#1093;&#1086;&#1074;&#1099;&#1077;,%20&#1082;&#1074;.10,%20&#1082;&#1086;&#1088;&#1087;.31,%2032,%2036/&#1052;&#1086;&#1080;%20&#1076;&#1086;&#1082;&#1091;&#1084;&#1077;&#1085;&#1090;&#1099;/&#1045;&#1076;&#1080;&#1085;&#1072;&#1103;%20&#1056;&#1086;&#1089;&#1089;&#1080;&#1103;/&#1047;&#1072;&#1090;&#1088;&#1072;&#1090;&#1099;%20(&#1045;&#1076;&#1080;&#1085;&#1072;&#1103;%20&#1056;&#1086;&#1089;&#1089;&#1080;&#1103;).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server\profiles\&#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1%20&#1055;&#1086;&#1076;&#1075;&#1086;&#1090;&#1086;&#1074;&#1080;&#1090;&#1077;&#1083;&#1100;&#1085;&#1072;&#1103;%20&#1089;&#1090;&#1072;&#1076;&#1080;&#1103;\&#1054;&#1087;&#1090;&#1080;&#1082;&#1086;&#1074;%203\1%20&#1055;&#1086;&#1076;&#1075;&#1086;&#1090;&#1086;&#1074;&#1080;&#1090;&#1077;&#1083;&#1100;&#1085;&#1072;&#1103;%20&#1089;&#1090;&#1072;&#1076;&#1080;&#1103;\&#1043;&#1083;&#1080;&#1085;&#1082;&#1080;%20&#1091;&#1083;,%20&#1075;%20&#1055;&#1091;&#1096;&#1082;&#1080;&#1085;\&#1043;&#1083;&#1080;&#1085;&#1082;&#1080;%20&#1091;&#1083;%20&#1076;16,%20&#1076;18%20&#1075;%20&#1055;&#1091;&#1096;&#1082;&#1080;&#1085;%2015-02-07.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43;&#1088;&#1072;&#1092;&#1080;&#1082;&#1080;%20&#1089;&#1090;&#1088;&#1086;&#1080;&#1090;&#1077;&#1083;&#1100;&#1089;&#1090;&#1074;&#1072;\&#1044;&#1077;&#1082;&#1072;&#1073;&#1088;&#1100;%202002\&#1040;&#1088;&#1093;&#1080;&#1074;%20&#1075;&#1088;&#1072;&#1092;&#1080;&#1082;&#1086;&#1074;%20&#1089;&#1090;&#1088;&#1086;&#1080;&#1090;&#1077;&#1083;&#1100;&#1089;&#1074;&#1090;&#1072;\&#1043;&#1088;&#1072;&#1092;&#1080;&#1082;&#1080;%20&#1043;&#1072;&#1074;&#1088;&#1089;&#1082;&#1086;&#1081;%2015-17.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mserver\&#1060;&#1057;&#1050;-&#1057;&#1050;\Documents%20and%20Settings\finlara\Application%20Data\Microsoft\Excel\&#1043;&#1088;&#1072;&#1092;&#1080;&#1082;%20&#1055;&#1055;&#1056;%20&#1085;&#1072;%202004%20(version%20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mserver\profiles\Documents%20and%20Settings\finlara\Application%20Data\Microsoft\Excel\&#1043;&#1088;&#1072;&#1092;&#1080;&#1082;%20&#1055;&#1055;&#1056;%20&#1085;&#1072;%202004%20(version%201).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1%20&#1055;&#1086;&#1076;&#1075;&#1086;&#1090;&#1086;&#1074;&#1080;&#1090;&#1077;&#1083;&#1100;&#1085;&#1072;&#1103;%20&#1089;&#1090;&#1072;&#1076;&#1080;&#1103;\&#1054;&#1087;&#1090;&#1080;&#1082;&#1086;&#1074;%203\5%20&#1056;&#1077;&#1072;&#1083;&#1080;&#1079;&#1091;&#1077;&#1084;&#1099;&#1077;%20&#1087;&#1088;&#1086;&#1077;&#1082;&#1090;&#1099;\&#1043;&#1088;&#1072;&#1092;&#1090;&#1080;&#1086;\&#1043;&#1088;&#1072;&#1092;&#1090;&#1080;&#1086;%20&#1076;.5(&#1063;&#1072;&#1087;&#1099;&#1075;&#1080;&#1085;&#1072;)%20&#1088;&#1072;&#1073;&#1086;&#1095;&#1080;&#108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1%20&#1055;&#1086;&#1076;&#1075;&#1086;&#1090;&#1086;&#1074;&#1080;&#1090;&#1077;&#1083;&#1100;&#1085;&#1072;&#1103;%20&#1089;&#1090;&#1072;&#1076;&#1080;&#1103;\&#1054;&#1087;&#1090;&#1080;&#1082;&#1086;&#1074;%203\1%20&#1055;&#1086;&#1076;&#1075;&#1086;&#1090;&#1086;&#1074;&#1080;&#1090;&#1077;&#1083;&#1100;&#1085;&#1072;&#1103;%20&#1089;&#1090;&#1072;&#1076;&#1080;&#1103;\&#1043;&#1083;&#1080;&#1085;&#1082;&#1080;%20&#1091;&#1083;,%20&#1075;%20&#1055;&#1091;&#1096;&#1082;&#1080;&#1085;\&#1043;&#1083;&#1080;&#1085;&#1082;&#1080;%20&#1091;&#1083;%20&#1076;16,%20&#1076;18%20&#1075;%20&#1055;&#1091;&#1096;&#1082;&#1080;&#1085;%2015-02-07.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Irina%20Chernova\Downloads\&#1054;&#1090;&#1076;&#1077;&#1083;&#1082;&#1072;.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Users\270C9A~1\AppData\Local\Temp\&#1050;&#1086;&#1087;&#1080;&#1103;%20&#1058;&#1047;%20&#1101;&#1083;&#1077;&#1082;&#1090;&#1088;&#1080;&#1082;&#1072;%20&#1090;&#1088;&#1091;&#1073;&#1082;&#1080;_23.09.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W:\Ira\RBI\&#1073;&#1076;\25.09.0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Chernova_IA\Desktop\&#1041;&#1102;&#1076;&#1078;&#1077;&#1090;&#1099;\&#1050;&#1091;&#1076;&#1088;&#1086;&#1074;&#1086;\&#1082;&#1091;&#1076;&#1088;&#1086;&#1074;&#1086;%209\&#1062;&#1055;\&#1041;&#1102;&#1076;&#1078;&#1077;&#1090;%209-01.09.14.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mserver\&#1082;%20&#1090;&#1077;&#1085;&#1076;&#1077;&#1088;&#1091;\&#1041;&#1102;&#1076;&#1078;&#1077;&#1090;&#1099;\&#1050;&#1091;&#1076;&#1088;&#1086;&#1074;&#1086;\&#1050;&#1091;&#1076;&#1088;&#1086;&#1074;&#1086;%2013\&#1050;&#1086;&#1087;&#1080;&#1103;%20&#1041;&#1102;&#1076;&#1078;&#1077;&#1090;%20&#1050;&#1091;&#1076;&#1088;&#1086;&#1074;&#1086;%2013%20&#1087;&#1091;&#1089;&#1082;%2009%2009.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6;&#1085;&#1086;&#1084;&#1080;&#1095;&#1077;&#1089;&#1082;&#1080;&#1081;%20&#1086;&#1090;&#1095;&#1077;&#1090;\2007\&#1050;&#1088;&#1072;&#1089;&#1085;&#1086;&#1087;&#1091;&#1090;&#1080;&#1083;&#1086;&#1074;&#1089;&#1082;&#1072;&#1103;\&#1050;&#1088;&#1072;&#1089;&#1085;&#1086;&#1087;&#1091;&#1090;&#1080;&#1083;&#1086;&#1074;&#1089;&#1082;&#1072;&#110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mserver\Documents%20and%20Settings\aleksandra_m\Desktop\&#1055;&#1088;&#1080;&#1073;&#1088;&#1077;&#1078;&#1085;&#1072;&#1103;-&#1050;&#1072;&#1088;&#1072;&#1074;&#1072;&#1085;&#1085;&#1072;&#1103;.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1%20&#1055;&#1086;&#1076;&#1075;&#1086;&#1090;&#1086;&#1074;&#1080;&#1090;&#1077;&#1083;&#1100;&#1085;&#1072;&#1103;%20&#1089;&#1090;&#1072;&#1076;&#1080;&#1103;\&#1054;&#1087;&#1090;&#1080;&#1082;&#1086;&#1074;%203\1%20&#1055;&#1086;&#1076;&#1075;&#1086;&#1090;&#1086;&#1074;&#1080;&#1090;&#1077;&#1083;&#1100;&#1085;&#1072;&#1103;%20&#1089;&#1090;&#1072;&#1076;&#1080;&#1103;\&#1050;&#1086;&#1089;&#1090;&#1102;&#1096;&#1082;&#1086;%20&#1082;&#1074;&#1072;&#1088;&#1090;&#1083;&#1072;%2013-14-16%20&#1047;&#1042;&#1046;&#1044;\&#1050;&#1086;&#1089;&#1090;&#1102;&#1096;&#1082;&#1086;%20&#1091;&#1083;%20&#1076;15-3-&#1040;.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5%20&#1056;&#1077;&#1072;&#1083;&#1080;&#1079;&#1091;&#1077;&#1084;&#1099;&#1077;%20&#1087;&#1088;&#1086;&#1077;&#1082;&#1090;&#1099;\&#1057;&#1074;&#1080;&#1088;&#1089;&#1082;&#1072;&#1103;-&#1043;&#1072;&#1075;&#1072;&#1088;&#1080;&#1085;&#1072;,7\&#1044;&#1091;&#1085;-&#1057;&#1074;&#1080;&#1088;&#1089;&#1082;&#1072;&#1103;%20&#1085;&#1072;%2013.10.05.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Chernova_IA\AppData\Local\Microsoft\Windows\Temporary%20Internet%20Files\Content.Outlook\MD5VS00Q\&#1041;&#1102;&#1076;&#1078;&#1077;&#1090;%20&#1052;&#1091;&#1088;&#1080;&#1085;&#1086;%205&#1086;&#1095;%20(&#1082;%2012131415)%2010.11.14-&#1076;&#1083;&#1103;%20&#1048;&#1048;.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Irina%20Chernova\Downloads\&#1044;&#1050;%2019.09.14.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Users\Irina%20Chernova\Downloads\&#1050;&#1086;&#1087;&#1080;&#1103;%20&#1050;&#1091;&#1076;&#1088;&#1086;&#1074;&#1086;%209%20&#1092;&#1072;&#1089;&#1072;&#1076;%20&#1074;&#1080;&#1090;&#1088;&#1072;&#1078;&#1080;%20&#1087;&#1077;&#1088;&#1077;&#1084;&#1099;&#1095;&#1082;&#1080;%20&#1082;&#1077;&#1088;&#1072;&#1084;&#1086;&#1075;&#1088;&#1072;&#1085;&#1080;&#1090;.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mserver\&#1060;&#1057;&#1050;-&#1057;&#1050;\&#1060;&#1080;&#1085;&#1072;&#1085;&#1089;&#1086;&#1074;&#1086;-&#1101;&#1082;&#1086;&#1085;&#1086;&#1084;&#1080;&#1095;&#1077;&#1089;&#1082;&#1080;&#1081;%20&#1076;&#1077;&#1087;&#1072;&#1088;&#1090;&#1072;&#1084;&#1077;&#1085;&#1090;\&#1055;&#1083;&#1072;&#1085;&#1086;&#1074;&#1086;-&#1101;&#1082;&#1086;&#1085;&#1086;&#1084;&#1080;&#1095;&#1077;&#1089;&#1082;&#1080;&#1081;%20&#1086;&#1090;&#1076;&#1077;&#1083;\&#1069;&#1082;&#1089;&#1087;&#1088;&#1077;&#1089;&#1089;%20&#1086;&#1094;&#1077;&#1085;&#1082;&#1072;\1%20&#1055;&#1086;&#1076;&#1075;&#1086;&#1090;&#1086;&#1074;&#1080;&#1090;&#1077;&#1083;&#1100;&#1085;&#1072;&#1103;%20&#1089;&#1090;&#1072;&#1076;&#1080;&#1103;\&#1043;&#1083;&#1080;&#1085;&#1082;&#1080;%20&#1091;&#1083;,%20&#1075;%20&#1055;&#1091;&#1096;&#1082;&#1080;&#1085;\&#1043;&#1083;&#1080;&#1085;&#1082;&#1080;%20&#1091;&#1083;%20&#1076;16,%20&#1076;18%20&#1075;%20&#1055;&#1091;&#1096;&#1082;&#1080;&#1085;%2015-02-0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Mserver\&#1057;&#1090;&#1088;&#1086;&#1080;&#1090;&#1077;&#1083;&#1100;&#1085;&#1072;&#1103;%20&#1050;&#1086;&#1084;&#1087;&#1072;&#1085;&#1080;&#1103;\&#1089;&#1090;&#1088;&#1086;&#1080;&#1090;&#1077;&#1083;&#1100;&#1085;&#1072;&#1103;%20&#1082;&#1086;&#1084;&#1087;&#1072;&#1085;&#1080;&#1103;\Documents%20and%20Settings\bortnikova\&#1052;&#1086;&#1080;%20&#1076;&#1086;&#1082;&#1091;&#1084;&#1077;&#1085;&#1090;&#1099;\&#1051;&#1072;&#1088;&#1080;&#1089;&#1072;\&#1043;&#1040;&#1043;&#1040;&#1056;&#1048;&#1053;&#1040;%207\&#1044;&#1054;&#1043;&#1054;&#1042;&#1054;&#1056;&#1040;\&#1044;&#1054;&#1043;&#1054;&#1042;&#1054;&#1056;%20&#1057;&#1101;&#1090;&#1083;%20&#1057;&#1080;&#1090;&#1080;\&#1044;&#1054;&#1055;&#1067;%20&#1047;&#1040;&#1050;&#1040;&#1047;&#1063;&#1048;&#1050;\&#1044;&#1057;%20&#8470;37\21.11.11\&#1053;&#1057;&#1050;-&#1052;&#1086;&#1085;&#1086;&#1083;&#1080;&#1090;\&#1044;&#1057;%2015.%20&#1056;&#1072;&#1073;&#1086;&#1090;&#1099;%20&#1087;&#1086;%20&#1072;&#1082;&#1090;&#1091;%20&#1086;&#1090;%2007.04.10.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Mserver\Users\Chernova_IA\AppData\Local\Microsoft\Windows\Temporary%20Internet%20Files\Content.Outlook\MD5VS00Q\&#1050;&#1091;&#1076;&#1088;&#1086;&#1074;&#1086;%209%20&#1092;&#1072;&#1089;&#1072;&#1076;%20&#1074;&#1080;&#1090;&#1088;&#1072;&#1078;&#1080;%20&#1087;&#1077;&#1088;&#1077;&#1084;&#1099;&#1095;&#1082;&#1080;%20&#1082;&#1077;&#1088;&#1072;&#1084;&#1086;&#1075;&#1088;&#1072;&#1085;&#1080;&#1090;%20(4).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E:\Users\Chernova_IA\Desktop\&#1041;&#1102;&#1076;&#1078;&#1077;&#1090;&#1099;\&#1069;&#1085;&#1077;&#1088;&#1075;&#1077;&#1090;&#1080;&#1082;&#1086;&#1074;\&#1057;&#1090;&#1088;&#1086;&#1080;&#1090;&#1077;&#1083;&#1100;&#1085;&#1072;&#1103;%20&#1050;&#1086;&#1084;&#1087;&#1072;&#1085;&#1080;&#1103;\Users\Chernova_IA\Desktop\&#1050;&#1086;&#1087;&#1080;&#1103;%20&#1062;&#1055;-19-2&#1086;&#1095;%20(&#1080;&#1090;&#1086;&#1075;).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Mironova_NA/&#1041;&#1072;&#1088;&#1088;&#1080;&#1082;&#1072;&#1076;&#1072;%203%20&#1086;&#1095;%20&#1089;&#1090;&#1072;&#1088;&#1086;&#1077;/&#1041;&#1102;&#1076;&#1078;&#1077;&#1090;%20&#1069;&#1085;&#1077;&#1088;&#1075;&#1077;&#1090;&#1080;&#1082;&#1086;&#1074;%203%2017.02.16.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1082;%20&#1090;&#1077;&#1085;&#1076;&#1077;&#1088;&#1091;/&#1041;&#1102;&#1076;&#1078;&#1077;&#1090;&#1099;/&#1058;&#1086;&#1088;&#1075;&#1086;&#1074;&#1099;&#1081;%20&#1094;&#1077;&#1085;&#1090;&#1088;/&#1062;&#1055;/&#1041;&#1102;&#1076;&#1078;&#1077;&#1090;%20&#1058;&#1062;%20&#1050;&#1091;&#1076;&#1088;&#1086;&#1074;&#1086;!2.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Server\work\Doci\&#1050;&#1083;&#1080;&#1084;&#1086;&#1074;%20&#1042;.&#1042;\&#1084;&#1086;&#1080;%20&#1086;&#1073;&#1098;&#1077;&#1082;&#1090;&#1099;\&#1056;&#1078;&#1077;&#1074;&#1082;&#1072;-&#1055;&#1086;&#1088;&#1086;&#1093;&#1086;&#1074;&#1099;&#1077;,%20&#1082;&#1074;.10,%20&#1082;&#1086;&#1088;&#1087;.31,%2032,%2036\&#1052;&#1086;&#1080;%20&#1076;&#1086;&#1082;&#1091;&#1084;&#1077;&#1085;&#1090;&#1099;\&#1045;&#1076;&#1080;&#1085;&#1072;&#1103;%20&#1056;&#1086;&#1089;&#1089;&#1080;&#1103;\&#1047;&#1072;&#1090;&#1088;&#1072;&#1090;&#1099;%20(&#1045;&#1076;&#1080;&#1085;&#1072;&#1103;%20&#1056;&#1086;&#1089;&#1089;&#1080;&#11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лькуляция"/>
      <sheetName val="накопительная"/>
      <sheetName val="S проемов"/>
      <sheetName val="текущие"/>
      <sheetName val="Данные по проекту"/>
    </sheetNames>
    <sheetDataSet>
      <sheetData sheetId="0"/>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лькуляция"/>
      <sheetName val="накопительная"/>
    </sheetNames>
    <sheetDataSet>
      <sheetData sheetId="0"/>
      <sheetData sheetId="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ецификация ПРОЕКТ"/>
      <sheetName val="6 пуск ДДУ на 110мест"/>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экспликации"/>
      <sheetName val="Паркинг_фибра"/>
      <sheetName val="РС паркинг"/>
      <sheetName val="расценки-от"/>
    </sheetNames>
    <sheetDataSet>
      <sheetData sheetId="0" refreshError="1"/>
      <sheetData sheetId="1" refreshError="1"/>
      <sheetData sheetId="2" refreshError="1"/>
      <sheetData sheetId="3">
        <row r="177">
          <cell r="A177" t="str">
            <v xml:space="preserve">Изоляция мин. ватой Paroc Extra толщ. 80 мм с креплением дюбелями по ТУ 14-4-794-77 </v>
          </cell>
        </row>
        <row r="187">
          <cell r="A187" t="str">
            <v xml:space="preserve">Подшивной потолок ГВЛ влагостойкий  в 1 слой  по металлическому каркасу </v>
          </cell>
        </row>
        <row r="191">
          <cell r="A191" t="str">
            <v xml:space="preserve">Окраска водоэмульсионной краской с полной подготовкой поверхности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Р"/>
      <sheetName val="ЦП"/>
      <sheetName val="Свод форма (2)"/>
      <sheetName val="график"/>
      <sheetName val="Оглавление"/>
      <sheetName val="Свод форма"/>
      <sheetName val="Бюджет с_ГУ"/>
      <sheetName val="Данные по очереди"/>
      <sheetName val="Данные по проекту"/>
      <sheetName val="демонтаж"/>
      <sheetName val="1А"/>
      <sheetName val="Бюджет б_ГУ"/>
      <sheetName val="Видео"/>
      <sheetName val="врем эл"/>
      <sheetName val="жб забор"/>
      <sheetName val="Водоотведение"/>
      <sheetName val="ПОС"/>
      <sheetName val="1В"/>
      <sheetName val="1С"/>
      <sheetName val="1.1.1С"/>
      <sheetName val="фунд под КБ"/>
      <sheetName val="Расчёт ДС 3"/>
      <sheetName val="1D"/>
      <sheetName val="1E"/>
      <sheetName val="шпунт ДС3"/>
      <sheetName val="Расчет без ГУ"/>
      <sheetName val="2A1"/>
      <sheetName val="Водоотлив"/>
      <sheetName val="2A"/>
      <sheetName val="ПРОБ СВ"/>
      <sheetName val="Сваи ДС1"/>
      <sheetName val="Сваи ДС2"/>
      <sheetName val="2B"/>
      <sheetName val="2C"/>
      <sheetName val="2D"/>
      <sheetName val="дог гп"/>
      <sheetName val="Сводный расчет"/>
      <sheetName val="3A"/>
      <sheetName val="мусоропровод 2 оч (2)"/>
      <sheetName val="мусоропровод 2 оч"/>
      <sheetName val="3B"/>
      <sheetName val="стены"/>
      <sheetName val="5A"/>
      <sheetName val="объем (2)"/>
      <sheetName val="5B"/>
      <sheetName val="металл ограждения "/>
      <sheetName val="ИПС"/>
      <sheetName val="РАСЧЕТ металл"/>
      <sheetName val="4"/>
      <sheetName val="объем-фасад"/>
      <sheetName val="декор пенополист"/>
      <sheetName val="декор гипс"/>
      <sheetName val="РС фасады Юком"/>
      <sheetName val="РС фасады"/>
      <sheetName val="6"/>
      <sheetName val="двери по этажам"/>
      <sheetName val="двери по типам"/>
      <sheetName val="Витражи"/>
      <sheetName val="века"/>
      <sheetName val="7"/>
      <sheetName val="окна по типам"/>
      <sheetName val="окна по этажам"/>
      <sheetName val="8"/>
      <sheetName val="ворота"/>
      <sheetName val="9"/>
      <sheetName val="кровля РС (2)"/>
      <sheetName val="варианты"/>
      <sheetName val="кровля НСК"/>
      <sheetName val="покр кровли"/>
      <sheetName val="кровля экспл Ушак"/>
      <sheetName val="балки"/>
      <sheetName val="кровля РС"/>
      <sheetName val="объем"/>
      <sheetName val="водост"/>
      <sheetName val="10"/>
      <sheetName val="РС-лифт"/>
      <sheetName val="11"/>
      <sheetName val="сантех"/>
      <sheetName val="ИТП"/>
      <sheetName val="ТЗ ОВиВК Ушак"/>
      <sheetName val="12"/>
      <sheetName val="Г3"/>
      <sheetName val="Автостоянка"/>
      <sheetName val="АПЗ"/>
      <sheetName val="СПС"/>
      <sheetName val="ОС"/>
      <sheetName val="СОУЭ"/>
      <sheetName val="СКУД"/>
      <sheetName val="СОТ"/>
      <sheetName val="СКПТ"/>
      <sheetName val="СКС"/>
      <sheetName val="ПВ"/>
      <sheetName val="аупт"/>
      <sheetName val="13"/>
      <sheetName val="КП-Энергострой 11"/>
      <sheetName val="КП-2ЭН11"/>
      <sheetName val="ЭО (2)"/>
      <sheetName val="14"/>
      <sheetName val="ЭО"/>
      <sheetName val="тр разв"/>
      <sheetName val="объем МОП"/>
      <sheetName val="РС МОП (2)"/>
      <sheetName val="объем паркинг"/>
      <sheetName val="РС паркинг"/>
      <sheetName val="объем встройка"/>
      <sheetName val="РС-встройка (2)"/>
      <sheetName val="кварт"/>
      <sheetName val="РС-квартиры"/>
      <sheetName val="расценки-от"/>
      <sheetName val="Мурино 1 оч"/>
      <sheetName val="МОП"/>
      <sheetName val="15"/>
      <sheetName val="покрытия 1"/>
      <sheetName val="МАФ"/>
      <sheetName val="ограждения"/>
      <sheetName val="16"/>
      <sheetName val="17A"/>
      <sheetName val="Дренаж"/>
      <sheetName val="НТС"/>
      <sheetName val="НВК"/>
      <sheetName val="НСС-"/>
      <sheetName val="НСС-радио"/>
      <sheetName val="НЭС от ТП до корп"/>
      <sheetName val="НО"/>
      <sheetName val="осв фасада"/>
      <sheetName val="17B"/>
      <sheetName val="17С"/>
      <sheetName val="Спр нач"/>
      <sheetName val="мат"/>
      <sheetName val="МЕХ"/>
      <sheetName val="Кирочная 57 - квартиры "/>
    </sheetNames>
    <sheetDataSet>
      <sheetData sheetId="0">
        <row r="1">
          <cell r="A1" t="str">
            <v>ПРОЕКТ: Строительство жилых зданий (Корпус и паркинг)</v>
          </cell>
        </row>
      </sheetData>
      <sheetData sheetId="1" refreshError="1"/>
      <sheetData sheetId="2" refreshError="1"/>
      <sheetData sheetId="3">
        <row r="2">
          <cell r="K2" t="str">
            <v>Пуск</v>
          </cell>
        </row>
      </sheetData>
      <sheetData sheetId="4">
        <row r="14">
          <cell r="C14" t="str">
            <v>табл. 10</v>
          </cell>
        </row>
      </sheetData>
      <sheetData sheetId="5">
        <row r="27">
          <cell r="D27" t="str">
            <v>Устройство ограждения котлованов</v>
          </cell>
        </row>
      </sheetData>
      <sheetData sheetId="6" refreshError="1"/>
      <sheetData sheetId="7" refreshError="1"/>
      <sheetData sheetId="8">
        <row r="21">
          <cell r="C21">
            <v>19268</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ow r="7">
          <cell r="D7">
            <v>15</v>
          </cell>
        </row>
      </sheetData>
      <sheetData sheetId="25" refreshError="1"/>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ow r="4">
          <cell r="C4">
            <v>1.2</v>
          </cell>
        </row>
        <row r="8">
          <cell r="B8">
            <v>2</v>
          </cell>
        </row>
      </sheetData>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ow r="26">
          <cell r="C26">
            <v>8</v>
          </cell>
        </row>
      </sheetData>
      <sheetData sheetId="56" refreshError="1"/>
      <sheetData sheetId="57" refreshError="1"/>
      <sheetData sheetId="58" refreshError="1"/>
      <sheetData sheetId="59" refreshError="1"/>
      <sheetData sheetId="60" refreshError="1"/>
      <sheetData sheetId="61">
        <row r="57">
          <cell r="C57">
            <v>2</v>
          </cell>
        </row>
        <row r="66">
          <cell r="C66">
            <v>3</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ow r="5">
          <cell r="A5" t="str">
            <v>№ п/п</v>
          </cell>
        </row>
      </sheetData>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ow r="3">
          <cell r="M3" t="str">
            <v>0,7</v>
          </cell>
          <cell r="N3" t="str">
            <v>49,32</v>
          </cell>
        </row>
      </sheetData>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ow r="10">
          <cell r="N10">
            <v>1.1791907514450868</v>
          </cell>
        </row>
      </sheetData>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график"/>
      <sheetName val="ИТОГИ дороги и сети"/>
      <sheetName val="ИТОГИ социалка"/>
      <sheetName val="Свод форма (2)"/>
      <sheetName val="Оглавление"/>
      <sheetName val="Свод форма (5)"/>
      <sheetName val="Лист1"/>
      <sheetName val="Лист2"/>
      <sheetName val="сравнение"/>
      <sheetName val="сравнение0"/>
      <sheetName val="Свод форма (с общепр)"/>
      <sheetName val="Свод форма (без общепр)"/>
      <sheetName val="Данные по очереди"/>
      <sheetName val="Данные по проекту"/>
      <sheetName val="Бюджет с_ГУ"/>
      <sheetName val="Бюджет б_ГУ"/>
      <sheetName val="ИТОГИ-общепр"/>
      <sheetName val="нагрузки соц"/>
      <sheetName val="ДК"/>
      <sheetName val="17С (2)"/>
      <sheetName val="ДС1 котл"/>
      <sheetName val="ДС1 сваи р1"/>
      <sheetName val="1А"/>
      <sheetName val="ПОС+ДС5"/>
      <sheetName val="ПОС ДС1-1"/>
      <sheetName val="ПОС ДС2"/>
      <sheetName val="ПОС быт гор"/>
      <sheetName val="ДС7"/>
      <sheetName val="ДС8"/>
      <sheetName val="ДС6-1"/>
      <sheetName val="ДС6-2"/>
      <sheetName val="врем дор зн_РС"/>
      <sheetName val="Общепроектные ПОС"/>
      <sheetName val="Лист3"/>
      <sheetName val="1В"/>
      <sheetName val="1E"/>
      <sheetName val="1С"/>
      <sheetName val="предоставл КБ"/>
      <sheetName val="фундамент под краны"/>
      <sheetName val="1D"/>
      <sheetName val="2A1"/>
      <sheetName val="котлован"/>
      <sheetName val="КП ВарII"/>
      <sheetName val="2A"/>
      <sheetName val="пр сваи"/>
      <sheetName val="ДС2 сваи"/>
      <sheetName val="ДС1 сваи р.2,3"/>
      <sheetName val="сваи"/>
      <sheetName val="сваи ДС1"/>
      <sheetName val="2B"/>
      <sheetName val="гидроиз+подготовк объем"/>
      <sheetName val="ЖБК РС"/>
      <sheetName val="ЖБК к2"/>
      <sheetName val="ЖБК к3"/>
      <sheetName val="2C"/>
      <sheetName val="2D"/>
      <sheetName val="3A"/>
      <sheetName val="мусоропровод"/>
      <sheetName val="3B"/>
      <sheetName val="металл"/>
      <sheetName val="4"/>
      <sheetName val="перемычки "/>
      <sheetName val="перемыч брус,арм"/>
      <sheetName val="5A"/>
      <sheetName val="5B"/>
      <sheetName val="прайс вебер"/>
      <sheetName val="ниж.пов.лоджий"/>
      <sheetName val="керамогр"/>
      <sheetName val="S проемов"/>
      <sheetName val="фасад объем"/>
      <sheetName val="фасад проверка"/>
      <sheetName val="фасад РС"/>
      <sheetName val="6"/>
      <sheetName val="витражи к.2"/>
      <sheetName val="витражи  объем к2"/>
      <sheetName val="витражи РС "/>
      <sheetName val="7"/>
      <sheetName val="ПВХ окна к2"/>
      <sheetName val="8"/>
      <sheetName val="ворота"/>
      <sheetName val="двери прайс"/>
      <sheetName val="дв прайс 2"/>
      <sheetName val="двери объем"/>
      <sheetName val="коллкторн"/>
      <sheetName val="9"/>
      <sheetName val="объемы кровля"/>
      <sheetName val="кровля "/>
      <sheetName val="кровля паркинг2"/>
      <sheetName val="кровля паркинг3"/>
      <sheetName val="10"/>
      <sheetName val="КП лифты"/>
      <sheetName val="лмс бмп"/>
      <sheetName val="маш-подъем"/>
      <sheetName val="11"/>
      <sheetName val="ИТП"/>
      <sheetName val="кладовки"/>
      <sheetName val="материалы"/>
      <sheetName val="сантех"/>
      <sheetName val="стат"/>
      <sheetName val="стат 7"/>
      <sheetName val="Кудрово"/>
      <sheetName val="12"/>
      <sheetName val="Автостоянка1"/>
      <sheetName val="ТВ"/>
      <sheetName val="радио"/>
      <sheetName val="стат СС 7-8"/>
      <sheetName val="13"/>
      <sheetName val="Ростэнерго 8"/>
      <sheetName val="корп 3"/>
      <sheetName val="ясень-электро"/>
      <sheetName val="эо 1"/>
      <sheetName val="эо 2"/>
      <sheetName val="14"/>
      <sheetName val="паркинг2 объем"/>
      <sheetName val="паркинг3 объем"/>
      <sheetName val="РС Паркинг"/>
      <sheetName val="кладовые к2-об"/>
      <sheetName val="кладовые к3 об"/>
      <sheetName val="клад_РС"/>
      <sheetName val="МОП объем к2"/>
      <sheetName val="МОП объем к3"/>
      <sheetName val="МОП_РС"/>
      <sheetName val="Корп.2.объем"/>
      <sheetName val="Корп.3.объем"/>
      <sheetName val="РС квартиры"/>
      <sheetName val="квартиры"/>
      <sheetName val="расценки"/>
      <sheetName val="тендер8п"/>
      <sheetName val="роспись"/>
      <sheetName val="тепло"/>
      <sheetName val="прогрев шт"/>
      <sheetName val="15"/>
      <sheetName val="Объемы"/>
      <sheetName val="покрытия"/>
      <sheetName val="посадки"/>
      <sheetName val="МАФ"/>
      <sheetName val="ограждения"/>
      <sheetName val="16"/>
      <sheetName val="дренаж"/>
      <sheetName val="НО"/>
      <sheetName val="НВК"/>
      <sheetName val="17B"/>
      <sheetName val="17A"/>
      <sheetName val="17С"/>
      <sheetName val="ИТОГ"/>
      <sheetName val="ПИР НВК"/>
      <sheetName val="ТС"/>
      <sheetName val="КП Гермес"/>
      <sheetName val="КП_НВКиТС_Водоканалстрой"/>
      <sheetName val="паркинг"/>
      <sheetName val="Мурино НВК"/>
      <sheetName val="Мурино дор газон"/>
      <sheetName val="Мурино магистр"/>
      <sheetName val="Мурино дор ДС"/>
      <sheetName val="Мурино дор ДС2"/>
      <sheetName val="нагрузки"/>
      <sheetName val="Объемы, Ново СЕргиево ИЗМ1"/>
      <sheetName val="мат"/>
      <sheetName val="МЕХ"/>
      <sheetName val="Спр нач"/>
      <sheetName val="Свод форма (3)"/>
      <sheetName val="Свод форма"/>
      <sheetName val="калькуляция"/>
    </sheetNames>
    <sheetDataSet>
      <sheetData sheetId="0"/>
      <sheetData sheetId="1"/>
      <sheetData sheetId="2"/>
      <sheetData sheetId="3"/>
      <sheetData sheetId="4"/>
      <sheetData sheetId="5"/>
      <sheetData sheetId="6"/>
      <sheetData sheetId="7">
        <row r="4">
          <cell r="A4" t="str">
            <v>ДАТА ОЦЕНКИ - 01.09.2014 г.</v>
          </cell>
        </row>
      </sheetData>
      <sheetData sheetId="8"/>
      <sheetData sheetId="9"/>
      <sheetData sheetId="10">
        <row r="81">
          <cell r="E81">
            <v>79274.44</v>
          </cell>
        </row>
      </sheetData>
      <sheetData sheetId="11">
        <row r="19">
          <cell r="E19">
            <v>63.261093991960088</v>
          </cell>
        </row>
      </sheetData>
      <sheetData sheetId="12"/>
      <sheetData sheetId="13">
        <row r="4">
          <cell r="A4" t="str">
            <v>ДАТА ОЦЕНКИ - 01.09.2014 г.</v>
          </cell>
        </row>
      </sheetData>
      <sheetData sheetId="14"/>
      <sheetData sheetId="15"/>
      <sheetData sheetId="16">
        <row r="9">
          <cell r="C9">
            <v>3600</v>
          </cell>
        </row>
      </sheetData>
      <sheetData sheetId="17"/>
      <sheetData sheetId="18">
        <row r="6">
          <cell r="B6" t="str">
            <v>ДОУ</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row r="10">
          <cell r="F10">
            <v>2.88</v>
          </cell>
        </row>
      </sheetData>
      <sheetData sheetId="60"/>
      <sheetData sheetId="61"/>
      <sheetData sheetId="62"/>
      <sheetData sheetId="63"/>
      <sheetData sheetId="64"/>
      <sheetData sheetId="65"/>
      <sheetData sheetId="66"/>
      <sheetData sheetId="67"/>
      <sheetData sheetId="68">
        <row r="10">
          <cell r="F10">
            <v>2.88</v>
          </cell>
        </row>
      </sheetData>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row r="4">
          <cell r="H4">
            <v>1.03</v>
          </cell>
        </row>
      </sheetData>
      <sheetData sheetId="104"/>
      <sheetData sheetId="105"/>
      <sheetData sheetId="106"/>
      <sheetData sheetId="107"/>
      <sheetData sheetId="108"/>
      <sheetData sheetId="109"/>
      <sheetData sheetId="110"/>
      <sheetData sheetId="111"/>
      <sheetData sheetId="112">
        <row r="4">
          <cell r="H4">
            <v>1.03</v>
          </cell>
        </row>
      </sheetData>
      <sheetData sheetId="113"/>
      <sheetData sheetId="114">
        <row r="7">
          <cell r="F7">
            <v>84</v>
          </cell>
        </row>
      </sheetData>
      <sheetData sheetId="115"/>
      <sheetData sheetId="116"/>
      <sheetData sheetId="117"/>
      <sheetData sheetId="118"/>
      <sheetData sheetId="119">
        <row r="12">
          <cell r="C12">
            <v>41249.68</v>
          </cell>
        </row>
      </sheetData>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refreshError="1"/>
      <sheetData sheetId="161" refreshError="1"/>
      <sheetData sheetId="16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Р"/>
      <sheetName val="ЦП"/>
      <sheetName val="график"/>
      <sheetName val="Оглавление"/>
      <sheetName val="Лист8"/>
      <sheetName val="Свод на 31.07.15 (2)"/>
      <sheetName val="Свод форма (с общепр) (3)"/>
      <sheetName val="расчет стоимости (2)"/>
      <sheetName val="итого корпус 2"/>
      <sheetName val="Секция 1 и 2"/>
      <sheetName val="Секция 3 и 4"/>
      <sheetName val="Секция 5 и 6"/>
      <sheetName val="ЛС 1Секц"/>
      <sheetName val="Лист3"/>
      <sheetName val="Свод форма (с общепр) (2)"/>
      <sheetName val="Свод на 31.07.15 (3)"/>
      <sheetName val="Свод форма (с общепр)"/>
      <sheetName val="Расценки"/>
      <sheetName val="Свод объем"/>
      <sheetName val="Свод форма (без общепр)"/>
      <sheetName val="Данные по очереди"/>
      <sheetName val="ГУ"/>
      <sheetName val="Лист1"/>
      <sheetName val="Данные по проекту"/>
      <sheetName val="Бюджет с_ГУ"/>
      <sheetName val="Бюджет б_ГУ"/>
      <sheetName val="нагрузки соц"/>
      <sheetName val="ТС внеплощ"/>
      <sheetName val="Петроэкология"/>
      <sheetName val="ПЭДС1"/>
      <sheetName val="ремонт охраны"/>
      <sheetName val="УНР18"/>
      <sheetName val="УНР ДС1"/>
      <sheetName val="УНР18 ДС2"/>
      <sheetName val="Терминатор 1.1"/>
      <sheetName val="терминатор ДС1"/>
      <sheetName val="терминатор ДС2.2"/>
      <sheetName val="терминатор ДС3"/>
      <sheetName val="Терминатор ДС2.1"/>
      <sheetName val="Терминатор 1.2"/>
      <sheetName val="закл"/>
      <sheetName val="благ-во"/>
      <sheetName val="площади"/>
      <sheetName val="17С (2)"/>
      <sheetName val="ПЭДС1 к котл"/>
      <sheetName val="1А"/>
      <sheetName val="ПОС 1 оч"/>
      <sheetName val="ПОС 2 оч (2)"/>
      <sheetName val="РСГ подг к2"/>
      <sheetName val="вр эл"/>
      <sheetName val="расчет"/>
      <sheetName val="ДС 9 ПСК"/>
      <sheetName val="1В"/>
      <sheetName val="вода"/>
      <sheetName val="тепло"/>
      <sheetName val="Электроэнергия"/>
      <sheetName val="1С"/>
      <sheetName val="Лидер"/>
      <sheetName val="1D"/>
      <sheetName val="1E"/>
      <sheetName val="Шпунт монт"/>
      <sheetName val="шпунт"/>
      <sheetName val="2A1"/>
      <sheetName val="котлован п2"/>
      <sheetName val="ПЭкотлован к2 ДС2"/>
      <sheetName val="Водоотлив"/>
      <sheetName val="Вывоз грунта"/>
      <sheetName val="котлован ДС2"/>
      <sheetName val="ДС 3 Петроэк"/>
      <sheetName val="ПЭ ДС4"/>
      <sheetName val="ПЭ ДС4-1"/>
      <sheetName val="ПСК ДС 6"/>
      <sheetName val="2A"/>
      <sheetName val="сваи РСГ+ДС1 к2"/>
      <sheetName val="Геоизол"/>
      <sheetName val="Геоизол ДС3-2"/>
      <sheetName val="КОРПУС 2 (финал)"/>
      <sheetName val="ПСТ к2"/>
      <sheetName val="ПСТ к2 ДС3"/>
      <sheetName val="ПСТ ДС1"/>
      <sheetName val="ДС 2 ПСТ"/>
      <sheetName val="ДС 4 ПСТ"/>
      <sheetName val="Статика к2"/>
      <sheetName val="Статика Д.С №2"/>
      <sheetName val="строй трест 28пробн сваи"/>
      <sheetName val="НСК-мех ДС1-3 сваи ас2"/>
      <sheetName val="лид бур"/>
      <sheetName val="НСК-мех ДС 2 проб"/>
      <sheetName val="2B"/>
      <sheetName val="Сводная  на все секции"/>
      <sheetName val="отделка_Дом2 (2)"/>
      <sheetName val="перегородки"/>
      <sheetName val="ТЗ 1оч дс1"/>
      <sheetName val="ТЗ "/>
      <sheetName val="мат КСПН"/>
      <sheetName val="ТЗ_2 оч."/>
      <sheetName val="ТЗ_2 оч. пск"/>
      <sheetName val="ТЗ_2 оч. ПСК+КСПН1оч"/>
      <sheetName val="ДС 8 ПСК"/>
      <sheetName val="ДС 81 ПСК"/>
      <sheetName val="дс 12"/>
      <sheetName val="ги к2"/>
      <sheetName val="Компенсация (20.02.15) (2)"/>
      <sheetName val="2C"/>
      <sheetName val="ДС 7 ПСК"/>
      <sheetName val="ДС 11ПСК"/>
      <sheetName val="2D"/>
      <sheetName val="3A"/>
      <sheetName val="мусоропровод"/>
      <sheetName val="мус 2"/>
      <sheetName val="ЛМ"/>
      <sheetName val="3B"/>
      <sheetName val="5A"/>
      <sheetName val="5B"/>
      <sheetName val="ML  r2"/>
      <sheetName val="ML 1оч"/>
      <sheetName val="4"/>
      <sheetName val="покраска, акуст.шов"/>
      <sheetName val="Материалыфас"/>
      <sheetName val="фасад смета"/>
      <sheetName val="Фасад корпуса "/>
      <sheetName val="Фасад паркинга "/>
      <sheetName val="Лист2"/>
      <sheetName val="Лист5"/>
      <sheetName val="ООО «ГласСтрой»   1оч"/>
      <sheetName val="2 оч"/>
      <sheetName val="раскладка дом"/>
      <sheetName val="6"/>
      <sheetName val="витражи"/>
      <sheetName val="куд8"/>
      <sheetName val="Витражи "/>
      <sheetName val="эн 1оч"/>
      <sheetName val="7"/>
      <sheetName val="окна м3"/>
      <sheetName val="окна по к7"/>
      <sheetName val="окна по к8"/>
      <sheetName val="окна "/>
      <sheetName val="Окна двери ПВХ "/>
      <sheetName val="Окна паркинга "/>
      <sheetName val="РС Энергетиков 1"/>
      <sheetName val="откос"/>
      <sheetName val="РС Энергетиков 1 (2)"/>
      <sheetName val="8"/>
      <sheetName val="двери_02.12.14"/>
      <sheetName val="ворота"/>
      <sheetName val="металлические двери "/>
      <sheetName val="Корпус 3"/>
      <sheetName val="мет к2"/>
      <sheetName val="кварт"/>
      <sheetName val="МДФ межкомнатные "/>
      <sheetName val="Кв дв2к"/>
      <sheetName val="кварт дв"/>
      <sheetName val="двери Эн 1оч"/>
      <sheetName val="9"/>
      <sheetName val="кровля"/>
      <sheetName val=" Козырьки"/>
      <sheetName val="козырьк"/>
      <sheetName val=" Козырьки (2)"/>
      <sheetName val="кровля Корп2"/>
      <sheetName val="Материалы кр"/>
      <sheetName val="кровля виту"/>
      <sheetName val="Кр жд Эн1"/>
      <sheetName val="Кр жд Эн2 по Эн1"/>
      <sheetName val="кровля паркинга"/>
      <sheetName val="кровля Эн 1"/>
      <sheetName val="кр парк дс1"/>
      <sheetName val="эн 1очкр парг дс2"/>
      <sheetName val="10"/>
      <sheetName val="КП ЛМС к2"/>
      <sheetName val="КП ЛМС к2(2)"/>
      <sheetName val="БК"/>
      <sheetName val="Расчет_корп.2"/>
      <sheetName val="лифт_корп.2"/>
      <sheetName val="лифт_корп.2 стар"/>
      <sheetName val="11"/>
      <sheetName val="сантехника"/>
      <sheetName val="сантех мат"/>
      <sheetName val="стат"/>
      <sheetName val="итп"/>
      <sheetName val="радиаторы"/>
      <sheetName val="ОВиВК"/>
      <sheetName val="итп1оч"/>
      <sheetName val="12"/>
      <sheetName val="стат СС 7-8"/>
      <sheetName val="СС"/>
      <sheetName val="13"/>
      <sheetName val="ясень-электро (2)"/>
      <sheetName val="ясень-электро"/>
      <sheetName val="эо 1"/>
      <sheetName val="эо 1оч"/>
      <sheetName val="ЭО тотал"/>
      <sheetName val="14"/>
      <sheetName val="прогрев зимнее время"/>
      <sheetName val="прогрев"/>
      <sheetName val="материалы МОП_ЗИМАк1"/>
      <sheetName val="материалы МОП_ОСЕНЬк2,3"/>
      <sheetName val="отделка_паркинг (2)"/>
      <sheetName val="РС_автост2"/>
      <sheetName val="отделка_Дом2"/>
      <sheetName val="РС Дом2"/>
      <sheetName val="расценки1"/>
      <sheetName val="Материалы"/>
      <sheetName val="ПСК 1оч"/>
      <sheetName val="УНР 1оч"/>
      <sheetName val="Нова"/>
      <sheetName val="15"/>
      <sheetName val="благоутройство"/>
      <sheetName val="благоутройство (2)"/>
      <sheetName val="ограждения"/>
      <sheetName val="посадки"/>
      <sheetName val="МАФы"/>
      <sheetName val="16"/>
      <sheetName val="Нагрузки"/>
      <sheetName val="17A"/>
      <sheetName val="НЭ"/>
      <sheetName val="дренаж к2"/>
      <sheetName val="НВК"/>
      <sheetName val="дренаж1"/>
      <sheetName val="дренаж"/>
      <sheetName val="17B"/>
      <sheetName val="17С"/>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20">
          <cell r="E20">
            <v>310.95284849738925</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ДЦ "/>
      <sheetName val="ТЭП"/>
      <sheetName val="Фактзатр"/>
      <sheetName val="Бланк карт "/>
      <sheetName val="ВДЦ_"/>
      <sheetName val="Бланк_карт_"/>
      <sheetName val="Спецификация ПРОЕКТ"/>
      <sheetName val="Отделка 3_2"/>
      <sheetName val="Данные по проекту"/>
      <sheetName val="Дренаж"/>
      <sheetName val="текущие"/>
    </sheetNames>
    <sheetDataSet>
      <sheetData sheetId="0">
        <row r="1">
          <cell r="A1" t="str">
            <v>ВЕДОМОСТЬ ФАКТИЧЕСКИХ ЗАТРАТ</v>
          </cell>
        </row>
      </sheetData>
      <sheetData sheetId="1">
        <row r="1">
          <cell r="A1" t="str">
            <v>ВЕДОМОСТЬ ФАКТИЧЕСКИХ ЗАТРАТ</v>
          </cell>
        </row>
      </sheetData>
      <sheetData sheetId="2">
        <row r="1">
          <cell r="A1" t="str">
            <v>ВЕДОМОСТЬ ФАКТИЧЕСКИХ ЗАТРАТ</v>
          </cell>
        </row>
        <row r="2">
          <cell r="A2" t="str">
            <v>на работы по отделке помещений по объекту:</v>
          </cell>
        </row>
        <row r="3">
          <cell r="A3" t="str">
            <v>отделение Партий Единая Россия</v>
          </cell>
        </row>
        <row r="4">
          <cell r="A4" t="str">
            <v>Калининского района</v>
          </cell>
        </row>
        <row r="5">
          <cell r="A5" t="str">
            <v>№</v>
          </cell>
          <cell r="B5" t="str">
            <v>Наименование работ</v>
          </cell>
          <cell r="C5" t="str">
            <v>Ед. изм.</v>
          </cell>
          <cell r="D5" t="str">
            <v>Цена за един.</v>
          </cell>
          <cell r="E5" t="str">
            <v>Кол-во по норме</v>
          </cell>
          <cell r="F5" t="str">
            <v>ИТОГО</v>
          </cell>
          <cell r="I5" t="str">
            <v>август</v>
          </cell>
          <cell r="Q5" t="str">
            <v xml:space="preserve"> </v>
          </cell>
          <cell r="V5" t="str">
            <v xml:space="preserve"> </v>
          </cell>
          <cell r="AA5" t="str">
            <v xml:space="preserve"> </v>
          </cell>
        </row>
        <row r="6">
          <cell r="G6" t="str">
            <v>кол-во мат-в</v>
          </cell>
          <cell r="H6" t="str">
            <v>ст-ть мат-в</v>
          </cell>
          <cell r="J6" t="str">
            <v>трансп.</v>
          </cell>
          <cell r="K6" t="str">
            <v>механ.</v>
          </cell>
          <cell r="L6" t="str">
            <v>кол-во мат-в</v>
          </cell>
          <cell r="M6" t="str">
            <v>ст-ть мат-в</v>
          </cell>
          <cell r="O6" t="str">
            <v>трансп.</v>
          </cell>
          <cell r="P6" t="str">
            <v>механ.</v>
          </cell>
          <cell r="Q6" t="str">
            <v>кол-во мат-в</v>
          </cell>
          <cell r="R6" t="str">
            <v>ст-ть мат-в</v>
          </cell>
          <cell r="T6" t="str">
            <v>трансп.</v>
          </cell>
          <cell r="U6" t="str">
            <v>механ.</v>
          </cell>
          <cell r="V6" t="str">
            <v>кол-во мат-в</v>
          </cell>
          <cell r="W6" t="str">
            <v>ст-ть мат-в</v>
          </cell>
          <cell r="Y6" t="str">
            <v>трансп.</v>
          </cell>
          <cell r="Z6" t="str">
            <v>механ.</v>
          </cell>
          <cell r="AA6" t="str">
            <v>кол-во мат-в</v>
          </cell>
          <cell r="AB6" t="str">
            <v>ст-ть мат-в</v>
          </cell>
          <cell r="AD6" t="str">
            <v>трансп.</v>
          </cell>
          <cell r="AE6" t="str">
            <v>механ.</v>
          </cell>
        </row>
        <row r="7">
          <cell r="H7" t="str">
            <v>ед.</v>
          </cell>
          <cell r="I7" t="str">
            <v>всего</v>
          </cell>
          <cell r="M7" t="str">
            <v>ед.</v>
          </cell>
          <cell r="N7" t="str">
            <v>всего</v>
          </cell>
          <cell r="R7" t="str">
            <v>ед.</v>
          </cell>
          <cell r="S7" t="str">
            <v>всего</v>
          </cell>
          <cell r="W7" t="str">
            <v>ед.</v>
          </cell>
          <cell r="X7" t="str">
            <v>всего</v>
          </cell>
          <cell r="AB7" t="str">
            <v>ед.</v>
          </cell>
          <cell r="AC7" t="str">
            <v>всего</v>
          </cell>
        </row>
        <row r="9">
          <cell r="A9">
            <v>1</v>
          </cell>
          <cell r="B9" t="str">
            <v>замок</v>
          </cell>
          <cell r="C9" t="str">
            <v>к-т</v>
          </cell>
        </row>
        <row r="10">
          <cell r="A10">
            <v>2</v>
          </cell>
          <cell r="B10" t="str">
            <v>изолента</v>
          </cell>
          <cell r="C10" t="str">
            <v>шт</v>
          </cell>
        </row>
        <row r="11">
          <cell r="A11">
            <v>3</v>
          </cell>
          <cell r="B11" t="str">
            <v>клей для финтекса</v>
          </cell>
          <cell r="C11" t="str">
            <v>кг</v>
          </cell>
        </row>
        <row r="12">
          <cell r="A12">
            <v>4</v>
          </cell>
          <cell r="B12" t="str">
            <v>краска масляная</v>
          </cell>
          <cell r="C12" t="str">
            <v>кг</v>
          </cell>
        </row>
        <row r="13">
          <cell r="A13">
            <v>5</v>
          </cell>
          <cell r="B13" t="str">
            <v>краска ПВА</v>
          </cell>
          <cell r="C13" t="str">
            <v>кг</v>
          </cell>
        </row>
        <row r="14">
          <cell r="A14">
            <v>6</v>
          </cell>
          <cell r="B14" t="str">
            <v>лампа ЛБ40</v>
          </cell>
          <cell r="C14" t="str">
            <v>шт</v>
          </cell>
        </row>
        <row r="15">
          <cell r="A15">
            <v>7</v>
          </cell>
          <cell r="B15" t="str">
            <v>наждачная бумага</v>
          </cell>
          <cell r="C15" t="str">
            <v>м2</v>
          </cell>
        </row>
        <row r="16">
          <cell r="A16">
            <v>8</v>
          </cell>
          <cell r="B16" t="str">
            <v>олифа</v>
          </cell>
          <cell r="C16" t="str">
            <v>кг</v>
          </cell>
        </row>
        <row r="17">
          <cell r="A17">
            <v>9</v>
          </cell>
          <cell r="B17" t="str">
            <v>стартер</v>
          </cell>
          <cell r="C17" t="str">
            <v>шт</v>
          </cell>
        </row>
        <row r="18">
          <cell r="A18">
            <v>10</v>
          </cell>
          <cell r="B18" t="str">
            <v>финтекс</v>
          </cell>
          <cell r="C18" t="str">
            <v>м2</v>
          </cell>
        </row>
        <row r="19">
          <cell r="A19">
            <v>11</v>
          </cell>
          <cell r="B19" t="str">
            <v>шпатлевка масляная</v>
          </cell>
          <cell r="C19" t="str">
            <v>кг</v>
          </cell>
        </row>
        <row r="21">
          <cell r="B21" t="str">
            <v>Итого</v>
          </cell>
        </row>
        <row r="22">
          <cell r="B22" t="str">
            <v>Заработная плата</v>
          </cell>
        </row>
        <row r="24">
          <cell r="B24" t="str">
            <v>Фактические затраты</v>
          </cell>
        </row>
        <row r="25">
          <cell r="B25" t="str">
            <v>заработная плата</v>
          </cell>
        </row>
        <row r="26">
          <cell r="B26" t="str">
            <v>материалы</v>
          </cell>
        </row>
        <row r="27">
          <cell r="B27" t="str">
            <v>транспорт и механизмы</v>
          </cell>
        </row>
        <row r="29">
          <cell r="B29" t="str">
            <v>Итого</v>
          </cell>
        </row>
      </sheetData>
      <sheetData sheetId="3"/>
      <sheetData sheetId="4"/>
      <sheetData sheetId="5"/>
      <sheetData sheetId="6" refreshError="1"/>
      <sheetData sheetId="7" refreshError="1"/>
      <sheetData sheetId="8" refreshError="1"/>
      <sheetData sheetId="9" refreshError="1"/>
      <sheetData sheetId="1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ерац."/>
      <sheetName val="Лист1"/>
      <sheetName val="расчет"/>
      <sheetName val="резюме"/>
      <sheetName val="Лист3"/>
      <sheetName val="расчет 1"/>
      <sheetName val="резюме отчет"/>
      <sheetName val="расчет %"/>
      <sheetName val="Предложение на торгах1 ($) (2)"/>
      <sheetName val="Предложение собств-ку (нов фор)"/>
      <sheetName val="Последний вариант для Селиванов"/>
      <sheetName val="Посл.вариант для Селиванова"/>
      <sheetName val="Предложение собств-ку (нов  (3)"/>
      <sheetName val="Операц_"/>
      <sheetName val="расчет_1"/>
      <sheetName val="резюме_отчет"/>
      <sheetName val="расчет_%"/>
      <sheetName val="Предложение_на_торгах1_($)_(2)"/>
      <sheetName val="Предложение_собств-ку_(нов_фор)"/>
      <sheetName val="Последний_вариант_для_Селиванов"/>
      <sheetName val="Посл_вариант_для_Селиванова"/>
      <sheetName val="Предложение_собств-ку_(нов__(3)"/>
    </sheetNames>
    <sheetDataSet>
      <sheetData sheetId="0" refreshError="1"/>
      <sheetData sheetId="1" refreshError="1"/>
      <sheetData sheetId="2">
        <row r="7">
          <cell r="C7">
            <v>5323</v>
          </cell>
        </row>
        <row r="8">
          <cell r="C8">
            <v>1863.05</v>
          </cell>
        </row>
      </sheetData>
      <sheetData sheetId="3" refreshError="1"/>
      <sheetData sheetId="4" refreshError="1"/>
      <sheetData sheetId="5" refreshError="1"/>
      <sheetData sheetId="6" refreshError="1"/>
      <sheetData sheetId="7" refreshError="1"/>
      <sheetData sheetId="8">
        <row r="21">
          <cell r="L21">
            <v>18867.924528301886</v>
          </cell>
        </row>
      </sheetData>
      <sheetData sheetId="9" refreshError="1"/>
      <sheetData sheetId="10"/>
      <sheetData sheetId="11" refreshError="1"/>
      <sheetData sheetId="12" refreshError="1"/>
      <sheetData sheetId="13"/>
      <sheetData sheetId="14"/>
      <sheetData sheetId="15"/>
      <sheetData sheetId="16"/>
      <sheetData sheetId="17">
        <row r="21">
          <cell r="L21">
            <v>18867.924528301886</v>
          </cell>
        </row>
      </sheetData>
      <sheetData sheetId="18"/>
      <sheetData sheetId="19"/>
      <sheetData sheetId="20"/>
      <sheetData sheetId="2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4"/>
      <sheetName val="график01.09.02"/>
      <sheetName val="график разраб план ф (25.09.02)"/>
      <sheetName val="график строительства (01.10.02)"/>
      <sheetName val="Лист1"/>
      <sheetName val="Лист2"/>
      <sheetName val="Лист3"/>
      <sheetName val="график01_09_02"/>
      <sheetName val="общие сведения"/>
      <sheetName val="график строительства"/>
      <sheetName val="Исходные"/>
      <sheetName val="Ценыобъемы"/>
      <sheetName val="Метод остатка"/>
      <sheetName val="Расходы"/>
      <sheetName val="1.ИСХ"/>
      <sheetName val="документы Кириши"/>
      <sheetName val="9.ДП"/>
      <sheetName val="Смета"/>
      <sheetName val="исх 1"/>
      <sheetName val="НФИк"/>
      <sheetName val="рабочий"/>
      <sheetName val="общее"/>
      <sheetName val="исходник"/>
      <sheetName val="износ"/>
      <sheetName val="Sheet2"/>
      <sheetName val="исход-итог"/>
      <sheetName val="Параметры"/>
      <sheetName val="Brif_zdanie"/>
      <sheetName val="свед"/>
      <sheetName val="Баз предп"/>
      <sheetName val="3.ЗУ "/>
      <sheetName val="Осн_данные"/>
      <sheetName val="Содержание"/>
      <sheetName val="Константы"/>
      <sheetName val="инвестиции 2007"/>
      <sheetName val="ТЭП гостиница"/>
      <sheetName val="ИнвестицииСвод"/>
      <sheetName val="2.Продажа квартир"/>
      <sheetName val="Графики Гаврской 15-17"/>
      <sheetName val="таблица"/>
      <sheetName val="инфо"/>
      <sheetName val="перечень с результатом"/>
      <sheetName val="Master Inputs Start here"/>
      <sheetName val="Инд"/>
      <sheetName val="Ставка Д"/>
      <sheetName val="ЛитБ"/>
      <sheetName val="Группы"/>
      <sheetName val="затр_подх"/>
      <sheetName val="Аренда Торговля"/>
      <sheetName val="Аренда СТО"/>
      <sheetName val="Glossary"/>
      <sheetName val="график01_09_021"/>
      <sheetName val="график_разраб_план_ф_(25_09_02)"/>
      <sheetName val="график_строительства_(01_10_02)"/>
      <sheetName val="общие_сведения"/>
      <sheetName val="график_строительства"/>
      <sheetName val="Метод_остатка"/>
      <sheetName val="1_ИСХ"/>
      <sheetName val="документы_Кириши"/>
      <sheetName val="9_ДП"/>
      <sheetName val="исх_1"/>
      <sheetName val="Баз_предп"/>
      <sheetName val="3_ЗУ_"/>
      <sheetName val="инвестиции_2007"/>
      <sheetName val="ТЭП_гостиница"/>
      <sheetName val="2_Продажа_квартир"/>
      <sheetName val="Графики_Гаврской_15-17"/>
      <sheetName val="перечень_с_результатом"/>
      <sheetName val="Master_Inputs_Start_here"/>
      <sheetName val="Ставка_Д"/>
      <sheetName val="Аренда_Торговля"/>
      <sheetName val="Аренда_СТО"/>
      <sheetName val="Резервы"/>
      <sheetName val="Данные по проекту"/>
      <sheetName val="кровля подр"/>
      <sheetName val="Машины и оборудование"/>
      <sheetName val="Здан-затр"/>
      <sheetName val="общие данные"/>
      <sheetName val="Hypothèses P&amp;L"/>
      <sheetName val="Коды расх"/>
      <sheetName val="CASH FLOW RUR"/>
      <sheetName val="Лист13"/>
      <sheetName val="Кредит"/>
      <sheetName val="Расчет"/>
      <sheetName val="S проемов"/>
      <sheetName val="Предложение на торгах1 ($) (2)"/>
      <sheetName val="6.Продажа квартир"/>
      <sheetName val="3.ЗАТРАТЫ"/>
      <sheetName val="Из (2)"/>
      <sheetName val="Итог"/>
      <sheetName val="Корр."/>
      <sheetName val="Участ"/>
      <sheetName val="ПВС"/>
      <sheetName val="ПРО"/>
      <sheetName val="У.в (2)"/>
      <sheetName val="У.в (4)"/>
      <sheetName val="Док+Исх"/>
      <sheetName val="Форма 7 (Скважины)"/>
      <sheetName val="Начало"/>
      <sheetName val="Свод S"/>
    </sheetNames>
    <sheetDataSet>
      <sheetData sheetId="0" refreshError="1"/>
      <sheetData sheetId="1" refreshError="1">
        <row r="3">
          <cell r="D3">
            <v>1.4999999999999999E-2</v>
          </cell>
        </row>
      </sheetData>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ow r="3">
          <cell r="D3">
            <v>1.4999999999999999E-2</v>
          </cell>
        </row>
      </sheetData>
      <sheetData sheetId="52"/>
      <sheetData sheetId="53"/>
      <sheetData sheetId="54">
        <row r="3">
          <cell r="D3">
            <v>1.4999999999999999E-2</v>
          </cell>
        </row>
      </sheetData>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лан"/>
      <sheetName val="проекты"/>
      <sheetName val="ППР"/>
      <sheetName val="текущие"/>
      <sheetName val="ЛВ"/>
      <sheetName val="14.01.04"/>
      <sheetName val="14_01_04"/>
      <sheetName val="Данные по проекту"/>
      <sheetName val="S проемов"/>
      <sheetName val="объем встройка (3)"/>
      <sheetName val="объем МОП-дизайн"/>
      <sheetName val="объем (2)"/>
      <sheetName val="окна по этажам"/>
      <sheetName val="двери по этажам"/>
    </sheetNames>
    <sheetDataSet>
      <sheetData sheetId="0" refreshError="1"/>
      <sheetData sheetId="1" refreshError="1"/>
      <sheetData sheetId="2" refreshError="1"/>
      <sheetData sheetId="3"/>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лан"/>
      <sheetName val="проекты"/>
      <sheetName val="ППР"/>
      <sheetName val="текущие"/>
      <sheetName val="ЛВ"/>
      <sheetName val="14.01.04"/>
      <sheetName val="14_01_04"/>
    </sheetNames>
    <sheetDataSet>
      <sheetData sheetId="0" refreshError="1"/>
      <sheetData sheetId="1" refreshError="1"/>
      <sheetData sheetId="2" refreshError="1"/>
      <sheetData sheetId="3"/>
      <sheetData sheetId="4" refreshError="1"/>
      <sheetData sheetId="5" refreshError="1"/>
      <sheetData sheetId="6"/>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Фин план"/>
      <sheetName val="расчет уточн"/>
      <sheetName val="расчет стоимости(КМД)"/>
      <sheetName val="расчет (КМД) на 12-04-05"/>
      <sheetName val="на 01.11.05 в нов.форме"/>
      <sheetName val="финплан индекс"/>
      <sheetName val="на 01-01-2006"/>
      <sheetName val="док&amp;акты"/>
      <sheetName val="Фин_план"/>
      <sheetName val="расчет_уточн"/>
      <sheetName val="расчет_стоимости(КМД)"/>
      <sheetName val="расчет_(КМД)_на_12-04-05"/>
      <sheetName val="на_01_11_05_в_нов_форме"/>
      <sheetName val="финплан_индекс"/>
      <sheetName val="на_01-01-2006"/>
      <sheetName val="расценки-от"/>
      <sheetName val="данные по проекту"/>
      <sheetName val="бетон"/>
      <sheetName val="корпус 1_2выписка"/>
      <sheetName val="корпус 1_3выписка"/>
    </sheetNames>
    <sheetDataSet>
      <sheetData sheetId="0"/>
      <sheetData sheetId="1"/>
      <sheetData sheetId="2"/>
      <sheetData sheetId="3"/>
      <sheetData sheetId="4">
        <row r="17">
          <cell r="M17">
            <v>28.817699999999999</v>
          </cell>
        </row>
      </sheetData>
      <sheetData sheetId="5"/>
      <sheetData sheetId="6"/>
      <sheetData sheetId="7"/>
      <sheetData sheetId="8"/>
      <sheetData sheetId="9"/>
      <sheetData sheetId="10"/>
      <sheetData sheetId="11"/>
      <sheetData sheetId="12">
        <row r="17">
          <cell r="M17">
            <v>28.817699999999999</v>
          </cell>
        </row>
      </sheetData>
      <sheetData sheetId="13"/>
      <sheetData sheetId="14"/>
      <sheetData sheetId="15" refreshError="1"/>
      <sheetData sheetId="16" refreshError="1"/>
      <sheetData sheetId="17" refreshError="1"/>
      <sheetData sheetId="18" refreshError="1"/>
      <sheetData sheetId="19"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ерац."/>
      <sheetName val="Лист1"/>
      <sheetName val="расчет"/>
      <sheetName val="резюме"/>
      <sheetName val="Лист3"/>
      <sheetName val="расчет 1"/>
      <sheetName val="резюме отчет"/>
      <sheetName val="расчет %"/>
      <sheetName val="Предложение на торгах1 ($) (2)"/>
      <sheetName val="Предложение собств-ку (нов фор)"/>
      <sheetName val="Последний вариант для Селиванов"/>
      <sheetName val="Посл.вариант для Селиванова"/>
      <sheetName val="Предложение собств-ку (нов  (3)"/>
      <sheetName val="Операц_"/>
      <sheetName val="расчет_1"/>
      <sheetName val="резюме_отчет"/>
      <sheetName val="расчет_%"/>
      <sheetName val="Предложение_на_торгах1_($)_(2)"/>
      <sheetName val="Предложение_собств-ку_(нов_фор)"/>
      <sheetName val="Последний_вариант_для_Селиванов"/>
      <sheetName val="Посл_вариант_для_Селиванова"/>
      <sheetName val="Предложение_собств-ку_(нов__(3)"/>
    </sheetNames>
    <sheetDataSet>
      <sheetData sheetId="0" refreshError="1"/>
      <sheetData sheetId="1" refreshError="1"/>
      <sheetData sheetId="2" refreshError="1">
        <row r="7">
          <cell r="C7">
            <v>5323</v>
          </cell>
        </row>
        <row r="10">
          <cell r="C10">
            <v>5030.2350000000006</v>
          </cell>
        </row>
        <row r="11">
          <cell r="C11">
            <v>5030.2350000000006</v>
          </cell>
        </row>
        <row r="13">
          <cell r="C13">
            <v>3</v>
          </cell>
        </row>
        <row r="17">
          <cell r="G17">
            <v>0.45749999999999996</v>
          </cell>
        </row>
        <row r="18">
          <cell r="G18">
            <v>26.5</v>
          </cell>
        </row>
      </sheetData>
      <sheetData sheetId="3" refreshError="1"/>
      <sheetData sheetId="4" refreshError="1"/>
      <sheetData sheetId="5" refreshError="1"/>
      <sheetData sheetId="6" refreshError="1"/>
      <sheetData sheetId="7" refreshError="1"/>
      <sheetData sheetId="8" refreshError="1">
        <row r="21">
          <cell r="L21">
            <v>18867.924528301886</v>
          </cell>
        </row>
      </sheetData>
      <sheetData sheetId="9" refreshError="1"/>
      <sheetData sheetId="10" refreshError="1"/>
      <sheetData sheetId="11" refreshError="1"/>
      <sheetData sheetId="12" refreshError="1"/>
      <sheetData sheetId="13"/>
      <sheetData sheetId="14"/>
      <sheetData sheetId="15"/>
      <sheetData sheetId="16"/>
      <sheetData sheetId="17">
        <row r="21">
          <cell r="L21">
            <v>18867.924528301886</v>
          </cell>
        </row>
      </sheetData>
      <sheetData sheetId="18"/>
      <sheetData sheetId="19"/>
      <sheetData sheetId="20"/>
      <sheetData sheetId="2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эксплик-секц1"/>
      <sheetName val="экспл_секц2"/>
      <sheetName val="экспл_секц3"/>
      <sheetName val="расчет дом 9-1 "/>
      <sheetName val="расценки"/>
      <sheetName val="расценки 2"/>
      <sheetName val="анализ"/>
      <sheetName val="Лист6"/>
      <sheetName val="экспликации"/>
      <sheetName val="Паркинг_фибра"/>
      <sheetName val="расценки-от"/>
      <sheetName val="калькуляция"/>
    </sheetNames>
    <sheetDataSet>
      <sheetData sheetId="0"/>
      <sheetData sheetId="1"/>
      <sheetData sheetId="2"/>
      <sheetData sheetId="3"/>
      <sheetData sheetId="4"/>
      <sheetData sheetId="5"/>
      <sheetData sheetId="6"/>
      <sheetData sheetId="7"/>
      <sheetData sheetId="8"/>
      <sheetData sheetId="9"/>
      <sheetData sheetId="10">
        <row r="83">
          <cell r="F83">
            <v>78.634560000000008</v>
          </cell>
          <cell r="G83">
            <v>183</v>
          </cell>
        </row>
        <row r="119">
          <cell r="F119">
            <v>99.035051111111088</v>
          </cell>
          <cell r="G119">
            <v>170</v>
          </cell>
        </row>
        <row r="191">
          <cell r="F191">
            <v>86.370846913580237</v>
          </cell>
          <cell r="G191">
            <v>224</v>
          </cell>
        </row>
        <row r="196">
          <cell r="A196" t="str">
            <v>Сплошное выравнивание цем-песч. смесями монолитных ж/б потолков (однослойная штукатурка)</v>
          </cell>
          <cell r="F196">
            <v>137.65666666666667</v>
          </cell>
          <cell r="G196">
            <v>383</v>
          </cell>
        </row>
      </sheetData>
      <sheetData sheetId="1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З_электрика"/>
      <sheetName val="ТЗ_электрика (2)"/>
      <sheetName val="ТЗ_электрика (3)"/>
      <sheetName val="ТЗ_электрика_Адысев"/>
      <sheetName val="ТЗ_электрика_Адысев (2)"/>
      <sheetName val="ТЗ_электрика_Адысев (3)"/>
      <sheetName val="ТЗ_электрика_ИТОГО"/>
      <sheetName val="ТЗ_электрика_ИТОГО_30.09"/>
      <sheetName val="ТЗ_электрика_(2)"/>
      <sheetName val="ТЗ_электрика_(3)"/>
      <sheetName val="ТЗ_электрика_Адысев_(2)"/>
      <sheetName val="ТЗ_электрика_Адысев_(3)"/>
      <sheetName val="ТЗ_электрика_ИТОГО_30_09"/>
      <sheetName val="ТЗ_электрика_(2)1"/>
      <sheetName val="ТЗ_электрика_(3)1"/>
      <sheetName val="ТЗ_электрика_Адысев_(2)1"/>
      <sheetName val="ТЗ_электрика_Адысев_(3)1"/>
      <sheetName val="ТЗ_электрика_ИТОГО_30_091"/>
      <sheetName val="ТЗ_электрика_(2)2"/>
      <sheetName val="ТЗ_электрика_(3)2"/>
      <sheetName val="ТЗ_электрика_Адысев_(2)2"/>
      <sheetName val="ТЗ_электрика_Адысев_(3)2"/>
      <sheetName val="ТЗ_электрика_ИТОГО_30_092"/>
      <sheetName val="объем (2)"/>
      <sheetName val="окна по этажам"/>
      <sheetName val="ЭО (2)"/>
      <sheetName val="двери по этажам"/>
      <sheetName val="Данные по проекту (3)"/>
      <sheetName val="Данные по проекту"/>
      <sheetName val="Данные по очереди (2)"/>
    </sheetNames>
    <sheetDataSet>
      <sheetData sheetId="0"/>
      <sheetData sheetId="1"/>
      <sheetData sheetId="2"/>
      <sheetData sheetId="3"/>
      <sheetData sheetId="4">
        <row r="6">
          <cell r="P6">
            <v>1.0449999999999999</v>
          </cell>
          <cell r="Q6">
            <v>2.852875007265264</v>
          </cell>
        </row>
      </sheetData>
      <sheetData sheetId="5"/>
      <sheetData sheetId="6"/>
      <sheetData sheetId="7"/>
      <sheetData sheetId="8"/>
      <sheetData sheetId="9"/>
      <sheetData sheetId="10">
        <row r="6">
          <cell r="P6">
            <v>1.0449999999999999</v>
          </cell>
        </row>
      </sheetData>
      <sheetData sheetId="11"/>
      <sheetData sheetId="12"/>
      <sheetData sheetId="13"/>
      <sheetData sheetId="14"/>
      <sheetData sheetId="15">
        <row r="6">
          <cell r="P6">
            <v>1.0449999999999999</v>
          </cell>
        </row>
      </sheetData>
      <sheetData sheetId="16"/>
      <sheetData sheetId="17"/>
      <sheetData sheetId="18"/>
      <sheetData sheetId="19"/>
      <sheetData sheetId="20">
        <row r="6">
          <cell r="P6">
            <v>1.0449999999999999</v>
          </cell>
        </row>
      </sheetData>
      <sheetData sheetId="21"/>
      <sheetData sheetId="22"/>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одифик"/>
      <sheetName val="Договоры"/>
      <sheetName val="добавить"/>
      <sheetName val="ТЭП"/>
      <sheetName val="кодификатор-суммы"/>
      <sheetName val="спр (2)"/>
      <sheetName val="код-зав4-3"/>
      <sheetName val="код-зав3-2"/>
      <sheetName val="код-зав2-1"/>
      <sheetName val="код-зав1-1"/>
      <sheetName val="добaвить"/>
      <sheetName val="сводная (2)"/>
      <sheetName val="сводная"/>
      <sheetName val="сводная-ТЭП"/>
      <sheetName val="кодиф 1С"/>
      <sheetName val="ТЭПы объектов"/>
      <sheetName val="ТУ"/>
      <sheetName val="спр_(2)"/>
      <sheetName val="сводная_(2)"/>
      <sheetName val="кодиф_1С"/>
      <sheetName val="ТЭПы_объектов"/>
      <sheetName val="спр_(2)1"/>
      <sheetName val="сводная_(2)1"/>
      <sheetName val="кодиф_1С1"/>
      <sheetName val="ТЭПы_объектов1"/>
      <sheetName val="спр_(2)2"/>
      <sheetName val="сводная_(2)2"/>
      <sheetName val="кодиф_1С2"/>
      <sheetName val="ТЭПы_объектов2"/>
      <sheetName val="расценки-от"/>
      <sheetName val="ТЗ_электрика_Адысев (2)"/>
      <sheetName val="разд.2"/>
      <sheetName val="разд.7"/>
      <sheetName val="калькуляция"/>
      <sheetName val="приложение 5 (график)"/>
      <sheetName val="корпус 1_2выписка"/>
      <sheetName val="корпус 1_3выписка"/>
      <sheetName val="расценки1"/>
      <sheetName val="спр_(2)3"/>
      <sheetName val="сводная_(2)3"/>
      <sheetName val="кодиф_1С3"/>
      <sheetName val="ТЭПы_объектов3"/>
      <sheetName val="ТЗ_электрика_Адысев_(2)"/>
      <sheetName val="разд_2"/>
      <sheetName val="разд_7"/>
      <sheetName val="спр_(2)4"/>
      <sheetName val="сводная_(2)4"/>
      <sheetName val="кодиф_1С4"/>
      <sheetName val="ТЭПы_объектов4"/>
      <sheetName val="ТЗ_электрика_Адысев_(2)1"/>
      <sheetName val="разд_21"/>
      <sheetName val="разд_71"/>
      <sheetName val="спр_(2)5"/>
      <sheetName val="сводная_(2)5"/>
      <sheetName val="кодиф_1С5"/>
      <sheetName val="ТЭПы_объектов5"/>
      <sheetName val="ТЗ_электрика_Адысев_(2)2"/>
      <sheetName val="разд_22"/>
      <sheetName val="разд_72"/>
      <sheetName val="Фактзатр"/>
      <sheetName val="_выписка 1_1"/>
      <sheetName val="корпус 1_3выписка _2_"/>
      <sheetName val="перечень подразделений"/>
      <sheetName val="Спр нач"/>
      <sheetName val="Текущее"/>
      <sheetName val="ЭО (2)"/>
      <sheetName val="Дренаж"/>
      <sheetName val="текущие"/>
      <sheetName val="данные по проекту"/>
      <sheetName val="Сводная ЛССМУ"/>
    </sheetNames>
    <sheetDataSet>
      <sheetData sheetId="0" refreshError="1"/>
      <sheetData sheetId="1" refreshError="1"/>
      <sheetData sheetId="2" refreshError="1"/>
      <sheetData sheetId="3" refreshError="1"/>
      <sheetData sheetId="4" refreshError="1"/>
      <sheetData sheetId="5" refreshError="1">
        <row r="1">
          <cell r="D1" t="str">
            <v>КОДИФИКАТОР 4ур</v>
          </cell>
        </row>
        <row r="2">
          <cell r="D2" t="str">
            <v>Автоматика открывания ворот гаражных</v>
          </cell>
        </row>
        <row r="3">
          <cell r="D3" t="str">
            <v>Автоматика открывания дверей</v>
          </cell>
        </row>
        <row r="4">
          <cell r="D4" t="str">
            <v>Авторский надзор</v>
          </cell>
        </row>
        <row r="5">
          <cell r="D5" t="str">
            <v>Алюминиевые витражи теплые "Sсhuсo"</v>
          </cell>
        </row>
        <row r="6">
          <cell r="D6" t="str">
            <v>Алюминиевые витражи теплые "Агрисовгаз"</v>
          </cell>
        </row>
        <row r="7">
          <cell r="D7" t="str">
            <v>Алюминиевые витражи холодные (стекло)</v>
          </cell>
        </row>
        <row r="8">
          <cell r="D8" t="str">
            <v>Санитарно-эпидемиологическое обследование объекта перед сдачей в эксплуатацию</v>
          </cell>
        </row>
        <row r="9">
          <cell r="D9" t="str">
            <v>Асфальтобетонное покрытие тротуаров</v>
          </cell>
        </row>
        <row r="10">
          <cell r="D10" t="str">
            <v>Асфальтобетонное покрытие проездов</v>
          </cell>
        </row>
        <row r="11">
          <cell r="D11" t="str">
            <v>Стяжки легкобетонные 90мм</v>
          </cell>
        </row>
        <row r="12">
          <cell r="D12" t="str">
            <v>Стяжки легкобетонные 120мм</v>
          </cell>
        </row>
        <row r="13">
          <cell r="D13" t="str">
            <v>Бытовая техника</v>
          </cell>
        </row>
        <row r="14">
          <cell r="D14" t="str">
            <v>Вариантное проектирование (разработка эскизного проекта)</v>
          </cell>
        </row>
        <row r="15">
          <cell r="D15" t="str">
            <v>Венецианская штукатурка стен</v>
          </cell>
        </row>
        <row r="16">
          <cell r="D16" t="str">
            <v>Визуальное обследование и фотофиксация дефектов здания</v>
          </cell>
        </row>
        <row r="17">
          <cell r="D17" t="str">
            <v>Водоотлив котлована</v>
          </cell>
        </row>
        <row r="18">
          <cell r="D18" t="str">
            <v>Водоснабжение и канализация</v>
          </cell>
        </row>
        <row r="19">
          <cell r="D19" t="str">
            <v>Возвратная стоимость м/к шпунта AZ-25</v>
          </cell>
        </row>
        <row r="20">
          <cell r="D20" t="str">
            <v>Возвратная стоимость м/к шпунта Л4</v>
          </cell>
        </row>
        <row r="21">
          <cell r="D21" t="str">
            <v>Возвратная стоимость м/к шпунта Л5</v>
          </cell>
        </row>
        <row r="22">
          <cell r="D22" t="str">
            <v>Врезка водопровода в существующую сеть</v>
          </cell>
        </row>
        <row r="23">
          <cell r="D23" t="str">
            <v>ВФ: AL м/к каркаса., керамогранит, ROCKWOOL 150мм</v>
          </cell>
        </row>
        <row r="24">
          <cell r="D24" t="str">
            <v>ВФ: AL м/к каркаса., композитные панели (ALUCOBOND), ROCKWOOL 150мм</v>
          </cell>
        </row>
        <row r="25">
          <cell r="D25" t="str">
            <v>ВФ: AL м/к каркаса., натуральный камень, ROCKWOOL 150мм</v>
          </cell>
        </row>
        <row r="26">
          <cell r="D26" t="str">
            <v>ВФ: AL м/к каркаса., фиброцементная плита, ROCKWOOL 150мм</v>
          </cell>
        </row>
        <row r="27">
          <cell r="D27" t="str">
            <v>Вывоз демонтированных конструкций и др. строительного мусора</v>
          </cell>
        </row>
        <row r="28">
          <cell r="D28" t="str">
            <v>Вывоз излишнего грунта в отвал</v>
          </cell>
        </row>
        <row r="29">
          <cell r="D29" t="str">
            <v>Вывоз излишнего грунта на свалку с утилизацией</v>
          </cell>
        </row>
        <row r="30">
          <cell r="D30" t="str">
            <v>Выдача справки на мощность (Ленэнерго)</v>
          </cell>
        </row>
        <row r="31">
          <cell r="D31" t="str">
            <v>Вынос контактной сети (трамвайные и троллейбусные линии)</v>
          </cell>
        </row>
        <row r="32">
          <cell r="D32" t="str">
            <v>Вынос сетей водопровода</v>
          </cell>
        </row>
        <row r="33">
          <cell r="D33" t="str">
            <v>Вынос сетей газоснабжения</v>
          </cell>
        </row>
        <row r="34">
          <cell r="D34" t="str">
            <v>Вынос сетей диспетчеризации</v>
          </cell>
        </row>
        <row r="35">
          <cell r="D35" t="str">
            <v>Вынос сетей кабельного телевидения</v>
          </cell>
        </row>
        <row r="36">
          <cell r="D36" t="str">
            <v>Вынос сетей канализации</v>
          </cell>
        </row>
        <row r="37">
          <cell r="D37" t="str">
            <v>Вынос сетей наружного освещения</v>
          </cell>
        </row>
        <row r="38">
          <cell r="D38" t="str">
            <v>Вынос сетей радиофикации</v>
          </cell>
        </row>
        <row r="39">
          <cell r="D39" t="str">
            <v>Вынос сетей телефонизации</v>
          </cell>
        </row>
        <row r="40">
          <cell r="D40" t="str">
            <v>Вынос сетей теплоснабжения</v>
          </cell>
        </row>
        <row r="41">
          <cell r="D41" t="str">
            <v>Вынос сетей электроснабжения</v>
          </cell>
        </row>
        <row r="42">
          <cell r="D42" t="str">
            <v>Выполнение мероприятий по снижению охранных зон</v>
          </cell>
        </row>
        <row r="43">
          <cell r="D43" t="str">
            <v>Плата за присоединение к тепловой сети</v>
          </cell>
        </row>
        <row r="44">
          <cell r="D44" t="str">
            <v>Плата за присоединение к электро сети</v>
          </cell>
        </row>
        <row r="45">
          <cell r="D45" t="str">
            <v>Вырубка зеленых насаждений, их пересадка, корчевка пней, вывоз мусора от рубки насаждений</v>
          </cell>
        </row>
        <row r="46">
          <cell r="D46" t="str">
            <v>Газоснабжение</v>
          </cell>
        </row>
        <row r="47">
          <cell r="D47" t="str">
            <v>Газоснабжение жилого дома</v>
          </cell>
        </row>
        <row r="48">
          <cell r="D48" t="str">
            <v>Гарантийный ремонт</v>
          </cell>
        </row>
        <row r="49">
          <cell r="D49" t="str">
            <v>Декоративная штукатурка с натур каменной крошкой</v>
          </cell>
        </row>
        <row r="50">
          <cell r="D50" t="str">
            <v>Демонтаж зданий и сооружений</v>
          </cell>
        </row>
        <row r="51">
          <cell r="D51" t="str">
            <v>Демонтаж и вывозка г/п подъемника</v>
          </cell>
        </row>
        <row r="52">
          <cell r="D52" t="str">
            <v>Демонтаж и вывозка КБ</v>
          </cell>
        </row>
        <row r="53">
          <cell r="D53" t="str">
            <v>Демонтаж имеющихся на территории строительства конструкций</v>
          </cell>
        </row>
        <row r="54">
          <cell r="D54" t="str">
            <v>Демонтаж п/пути передвижного КБ</v>
          </cell>
        </row>
        <row r="55">
          <cell r="D55" t="str">
            <v>Демонтаж панелей ж/б забора самостоящих и их вывозка</v>
          </cell>
        </row>
        <row r="56">
          <cell r="D56" t="str">
            <v>Демонтаж пешеходной галереи и козырька</v>
          </cell>
        </row>
        <row r="57">
          <cell r="D57" t="str">
            <v>Детские игровые комплексы</v>
          </cell>
        </row>
        <row r="58">
          <cell r="D58" t="str">
            <v>Детское игровое оборудование</v>
          </cell>
        </row>
        <row r="59">
          <cell r="D59" t="str">
            <v>Монолитный пенобетон</v>
          </cell>
        </row>
        <row r="60">
          <cell r="D60" t="str">
            <v>Извлечение шпунта AZ-25</v>
          </cell>
        </row>
        <row r="61">
          <cell r="D61" t="str">
            <v>Извлечение шпунта Л4</v>
          </cell>
        </row>
        <row r="62">
          <cell r="D62" t="str">
            <v>Извлечение шпунта Л5</v>
          </cell>
        </row>
        <row r="63">
          <cell r="D63" t="str">
            <v>Изготовление и монтаж ворот</v>
          </cell>
        </row>
        <row r="64">
          <cell r="D64" t="str">
            <v>Изоляция примыканий шахт лифтов (м пог  шва)</v>
          </cell>
        </row>
        <row r="65">
          <cell r="D65" t="str">
            <v>Исполнительная съемка здания и подземных инженерных коммуникаций</v>
          </cell>
        </row>
        <row r="66">
          <cell r="D66" t="str">
            <v>Испытание свай</v>
          </cell>
        </row>
        <row r="67">
          <cell r="D67" t="str">
            <v>Кабельные прокладки до 0,4 кВ</v>
          </cell>
        </row>
        <row r="68">
          <cell r="D68" t="str">
            <v>Кабельные прокладки до 10 кВ</v>
          </cell>
        </row>
        <row r="69">
          <cell r="D69" t="str">
            <v>Газобетонные блоки на клее</v>
          </cell>
        </row>
        <row r="70">
          <cell r="D70" t="str">
            <v>Нар ст т 380мм: кер стр пуст 250мм, з/р 10мм, кер лиц полн 120мм</v>
          </cell>
        </row>
        <row r="71">
          <cell r="D71" t="str">
            <v>Нар ст т 380мм: кер стр полн 120мм, з/р 10мм, сил лиц пуст 250мм</v>
          </cell>
        </row>
        <row r="72">
          <cell r="D72" t="str">
            <v>Нар ст т 520мм: кер стр пуст 380мм, з/р 10мм, мин.вата Кавити Баттс 130мм</v>
          </cell>
        </row>
        <row r="73">
          <cell r="D73" t="str">
            <v>Нар ст т 590мм: кер лиц пуст 120мм, з/р 20мм, г/б 450мм</v>
          </cell>
        </row>
        <row r="74">
          <cell r="D74" t="str">
            <v>Нар ст т 670мм: кер лиц полн 250мм, з/р 20мм, г/б 400мм</v>
          </cell>
        </row>
        <row r="75">
          <cell r="D75" t="str">
            <v>Нар ст т 850мм: кер лиц пуст 380мм, з/р 20мм, г/б 450мм</v>
          </cell>
        </row>
        <row r="76">
          <cell r="D76" t="str">
            <v>Комплексное инженерно-геологическое обследование участка строительства</v>
          </cell>
        </row>
        <row r="77">
          <cell r="D77" t="str">
            <v>Консультационные услуги по проекту</v>
          </cell>
        </row>
        <row r="78">
          <cell r="D78" t="str">
            <v>Контрольно - исполнительная съемка временной автодороги</v>
          </cell>
        </row>
        <row r="79">
          <cell r="D79" t="str">
            <v>Контрольно - исполнительная съемка котлована</v>
          </cell>
        </row>
        <row r="80">
          <cell r="D80" t="str">
            <v>Контрольно - исполнительная съемка кровли</v>
          </cell>
        </row>
        <row r="81">
          <cell r="D81" t="str">
            <v>Копировальные работы</v>
          </cell>
        </row>
        <row r="82">
          <cell r="D82" t="str">
            <v>Крепление шпунта AZ-25</v>
          </cell>
        </row>
        <row r="83">
          <cell r="D83" t="str">
            <v>Крепление шпунта Л4</v>
          </cell>
        </row>
        <row r="84">
          <cell r="D84" t="str">
            <v>Крепление шпунта Л5</v>
          </cell>
        </row>
        <row r="85">
          <cell r="D85" t="str">
            <v>Кухонное оборудование и аксессуары</v>
          </cell>
        </row>
        <row r="86">
          <cell r="D86" t="str">
            <v>Леса для устройства наружных стен</v>
          </cell>
        </row>
        <row r="87">
          <cell r="D87" t="str">
            <v>Мансардные окна VELUX</v>
          </cell>
        </row>
        <row r="88">
          <cell r="D88" t="str">
            <v>Мебель для мест общего пользования</v>
          </cell>
        </row>
        <row r="89">
          <cell r="D89" t="str">
            <v xml:space="preserve">Механизированная отрывка котлована </v>
          </cell>
        </row>
        <row r="90">
          <cell r="D90" t="str">
            <v>Мозаичные покрытия стен: керамика</v>
          </cell>
        </row>
        <row r="91">
          <cell r="D91" t="str">
            <v>Мозаичные покрытия стен: смальта, стекло</v>
          </cell>
        </row>
        <row r="92">
          <cell r="D92" t="str">
            <v>Монтаж вентблоков</v>
          </cell>
        </row>
        <row r="93">
          <cell r="D93" t="str">
            <v>Монтаж деревянной подоконной доски</v>
          </cell>
        </row>
        <row r="94">
          <cell r="D94" t="str">
            <v>Монтаж деревянных оконных блоков из лиственницы</v>
          </cell>
        </row>
        <row r="95">
          <cell r="D95" t="str">
            <v>Монтаж деревянных оконных блоков из сосны</v>
          </cell>
        </row>
        <row r="96">
          <cell r="D96" t="str">
            <v>Монтаж ж/б маршей</v>
          </cell>
        </row>
        <row r="97">
          <cell r="D97" t="str">
            <v>Монтаж ж/б маршей с полуплощадками</v>
          </cell>
        </row>
        <row r="98">
          <cell r="D98" t="str">
            <v>Монтаж ж/б площадок</v>
          </cell>
        </row>
        <row r="99">
          <cell r="D99" t="str">
            <v>Монтаж металлических косоуров</v>
          </cell>
        </row>
        <row r="100">
          <cell r="D100" t="str">
            <v>Монтаж металлоконструкций каркаса цокольного этажа</v>
          </cell>
        </row>
        <row r="101">
          <cell r="D101" t="str">
            <v>Монтаж оборудования наружного освещения здания</v>
          </cell>
        </row>
        <row r="102">
          <cell r="D102" t="str">
            <v>Монтаж оборудования системы диспетчеризации</v>
          </cell>
        </row>
        <row r="103">
          <cell r="D103" t="str">
            <v>Монтаж оборудования системы кондиционирования</v>
          </cell>
        </row>
        <row r="104">
          <cell r="D104" t="str">
            <v>Монтаж оборудования системы радиофикации</v>
          </cell>
        </row>
        <row r="105">
          <cell r="D105" t="str">
            <v>Монтаж оборудования системы телевидения</v>
          </cell>
        </row>
        <row r="106">
          <cell r="D106" t="str">
            <v>Монтаж оборудования системы телефонизации</v>
          </cell>
        </row>
        <row r="107">
          <cell r="D107" t="str">
            <v>Монтаж оборудования ТП (КТПН, БКТП) на 1260кВА (2х630)</v>
          </cell>
        </row>
        <row r="108">
          <cell r="D108" t="str">
            <v>Монтаж оборудования ТП (КТПН, БКТП) на 630кВА</v>
          </cell>
        </row>
        <row r="109">
          <cell r="D109" t="str">
            <v>Монтаж оконных блоков их ПХВ-профиля</v>
          </cell>
        </row>
        <row r="110">
          <cell r="D110" t="str">
            <v>Монтаж плит покрытия ШЛП</v>
          </cell>
        </row>
        <row r="111">
          <cell r="D111" t="str">
            <v>Монтаж подоконной доски из ПХВ</v>
          </cell>
        </row>
        <row r="112">
          <cell r="D112" t="str">
            <v>Монтаж подоконной доски из ЦСП</v>
          </cell>
        </row>
        <row r="113">
          <cell r="D113" t="str">
            <v>Монтаж ПП оконных блоков</v>
          </cell>
        </row>
        <row r="114">
          <cell r="D114" t="str">
            <v>Монтаж приемных клапанов без окраски</v>
          </cell>
        </row>
        <row r="115">
          <cell r="D115" t="str">
            <v>Монтаж сборных ступеней по металлическим косоурам</v>
          </cell>
        </row>
        <row r="116">
          <cell r="D116" t="str">
            <v>Монтаж ствола мусоропровода без окраски</v>
          </cell>
        </row>
        <row r="117">
          <cell r="D117" t="str">
            <v>Монтаж трехслойных панелей</v>
          </cell>
        </row>
        <row r="118">
          <cell r="D118" t="str">
            <v>Монтаж элементов шахт лифтов</v>
          </cell>
        </row>
        <row r="119">
          <cell r="D119" t="str">
            <v>Монтажные, пуско-наладочные и строительные работы по лифтам</v>
          </cell>
        </row>
        <row r="120">
          <cell r="D120" t="str">
            <v>Наращивание и крепление башни КБ, подъем стрелы КБ</v>
          </cell>
        </row>
        <row r="121">
          <cell r="D121" t="str">
            <v>Натяжные потолки на основе ПХВ-пленки</v>
          </cell>
        </row>
        <row r="122">
          <cell r="D122" t="str">
            <v>Натяжные потолки тканевые</v>
          </cell>
        </row>
        <row r="123">
          <cell r="D123" t="str">
            <v>Обеспечение ГВС по постоянному договору</v>
          </cell>
        </row>
        <row r="124">
          <cell r="D124" t="str">
            <v>Обеспечение перевода коммунального обеспечения с временного на постоянный режим работы</v>
          </cell>
        </row>
        <row r="125">
          <cell r="D125" t="str">
            <v>Обеспечение тепловой энергией по постоянному договору (заказчик)</v>
          </cell>
        </row>
        <row r="126">
          <cell r="D126" t="str">
            <v>Обеспечение тепловой энергией по постоянному договору (с компенсацией ТСЖ)</v>
          </cell>
        </row>
        <row r="127">
          <cell r="D127" t="str">
            <v>Обеспечение электро энергией по постоянному договору (заказчик)</v>
          </cell>
        </row>
        <row r="128">
          <cell r="D128" t="str">
            <v>Обеспечение электро энергией по постоянному договору (с компенсацией ТСЖ)</v>
          </cell>
        </row>
        <row r="129">
          <cell r="D129" t="str">
            <v>Облицовка наружный стен: кирпич кер лиц пуст 250мм</v>
          </cell>
        </row>
        <row r="130">
          <cell r="D130" t="str">
            <v>Облицовка наружный стен: кирпич кер лиц пуст 120мм</v>
          </cell>
        </row>
        <row r="131">
          <cell r="D131" t="str">
            <v>Облицовка наружных стен: гранитные плиты</v>
          </cell>
        </row>
        <row r="132">
          <cell r="D132" t="str">
            <v>Облицовка наружных стен: камень СКЦ</v>
          </cell>
        </row>
        <row r="133">
          <cell r="D133" t="str">
            <v>Облицовка наружных стен: Путиловский камень (известняк)</v>
          </cell>
        </row>
        <row r="134">
          <cell r="D134" t="str">
            <v>Облицовка потолков АЦЛ (ЦСП) по мет каркасу без утепления</v>
          </cell>
        </row>
        <row r="135">
          <cell r="D135" t="str">
            <v>Облицовка потолков АЦЛ (ЦСП) по мет каркасу с утеплением</v>
          </cell>
        </row>
        <row r="136">
          <cell r="D136" t="str">
            <v>Облицовка потолков ГКЛ по мет каркасу без утепления</v>
          </cell>
        </row>
        <row r="137">
          <cell r="D137" t="str">
            <v>Облицовка потолков ГКЛ по мет каркасу с утеплением</v>
          </cell>
        </row>
        <row r="138">
          <cell r="D138" t="str">
            <v>Облицовка потолков панелями акустическими</v>
          </cell>
        </row>
        <row r="139">
          <cell r="D139" t="str">
            <v>Облицовка потолков панелями металлическими реечными</v>
          </cell>
        </row>
        <row r="140">
          <cell r="D140" t="str">
            <v>Облицовка потолков панелями на основе гипса</v>
          </cell>
        </row>
        <row r="141">
          <cell r="D141" t="str">
            <v>Облицовка потолков панелями на основе МДФ</v>
          </cell>
        </row>
        <row r="142">
          <cell r="D142" t="str">
            <v>Облицовка потолков панелями на основе ПХВ</v>
          </cell>
        </row>
        <row r="143">
          <cell r="D143" t="str">
            <v>Облицовка потолков панелями ППС на мет каркасе (типа Armstrong)</v>
          </cell>
        </row>
        <row r="144">
          <cell r="D144" t="str">
            <v>Облицовка стен акустическими панелями</v>
          </cell>
        </row>
        <row r="145">
          <cell r="D145" t="str">
            <v>Облицовка стен АЦЛ (ЦСП) по мет каркасу без утепления</v>
          </cell>
        </row>
        <row r="146">
          <cell r="D146" t="str">
            <v>Облицовка стен АЦЛ (ЦСП) по мет каркасу с утеплением</v>
          </cell>
        </row>
        <row r="147">
          <cell r="D147" t="str">
            <v>Облицовка стен ГКЛ по мет каркасу без утепления</v>
          </cell>
        </row>
        <row r="148">
          <cell r="D148" t="str">
            <v>Облицовка стен ГКЛ по мет каркасу с утеплением</v>
          </cell>
        </row>
        <row r="149">
          <cell r="D149" t="str">
            <v>Облицовка стен гранитными плитами</v>
          </cell>
        </row>
        <row r="150">
          <cell r="D150" t="str">
            <v>Облицовка стен керамическими плитками</v>
          </cell>
        </row>
        <row r="151">
          <cell r="D151" t="str">
            <v>Облицовка стен мраморными плитами</v>
          </cell>
        </row>
        <row r="152">
          <cell r="D152" t="str">
            <v>Облицовка стен панелями на основе МДФ</v>
          </cell>
        </row>
        <row r="153">
          <cell r="D153" t="str">
            <v>Облицовка стен панелями на основе ПХВ</v>
          </cell>
        </row>
        <row r="154">
          <cell r="D154" t="str">
            <v>Оборудование для бильярдной</v>
          </cell>
        </row>
        <row r="155">
          <cell r="D155" t="str">
            <v>Оборудование для медицинского кабинета</v>
          </cell>
        </row>
        <row r="156">
          <cell r="D156" t="str">
            <v>Оборудование для прачечной</v>
          </cell>
        </row>
        <row r="157">
          <cell r="D157" t="str">
            <v>Оборудование для саун</v>
          </cell>
        </row>
        <row r="158">
          <cell r="D158" t="str">
            <v>Оборудование для солярия и косметического кабинета</v>
          </cell>
        </row>
        <row r="159">
          <cell r="D159" t="str">
            <v>Оборудование площадок спортивных</v>
          </cell>
        </row>
        <row r="160">
          <cell r="D160" t="str">
            <v>Обратная засыпка грунтом</v>
          </cell>
        </row>
        <row r="161">
          <cell r="D161" t="str">
            <v>Обратная засыпка песком пазух котлована с уплотнением</v>
          </cell>
        </row>
        <row r="162">
          <cell r="D162" t="str">
            <v>Обратная засыпка песком ростверков с уплотнением</v>
          </cell>
        </row>
        <row r="163">
          <cell r="D163" t="str">
            <v>Обследование зеленых насаждений</v>
          </cell>
        </row>
        <row r="164">
          <cell r="D164" t="str">
            <v>Оказание логистических услуг (транспортно-экспедиторское обслуживание)</v>
          </cell>
        </row>
        <row r="165">
          <cell r="D165" t="str">
            <v>Оказание услуг в целях обеспечения сан-эпид. благополучия</v>
          </cell>
        </row>
        <row r="166">
          <cell r="D166" t="str">
            <v>Оказание услуг по присвоению милицейского адреса жилого дома</v>
          </cell>
        </row>
        <row r="167">
          <cell r="D167" t="str">
            <v>Оказание услуг по присвоению милицейского адреса трансформаторной подстанции</v>
          </cell>
        </row>
        <row r="168">
          <cell r="D168" t="str">
            <v>Оклейка потолков обоями бумажными</v>
          </cell>
        </row>
        <row r="169">
          <cell r="D169" t="str">
            <v>Оклейка потолков обоями виниловыми</v>
          </cell>
        </row>
        <row r="170">
          <cell r="D170" t="str">
            <v>Оклейка потолков обоями под окраску</v>
          </cell>
        </row>
        <row r="171">
          <cell r="D171" t="str">
            <v>Оклейка потолков панелями пенополистирольными</v>
          </cell>
        </row>
        <row r="172">
          <cell r="D172" t="str">
            <v>Оклейка стен обоями бумажными</v>
          </cell>
        </row>
        <row r="173">
          <cell r="D173" t="str">
            <v>Оклейка стен обоями виниловыми</v>
          </cell>
        </row>
        <row r="174">
          <cell r="D174" t="str">
            <v>Оклейка стен обоями под окраску</v>
          </cell>
        </row>
        <row r="175">
          <cell r="D175" t="str">
            <v>Оклейка стен ткаными материалами</v>
          </cell>
        </row>
        <row r="176">
          <cell r="D176" t="str">
            <v>Окраска ж/б ограждения</v>
          </cell>
        </row>
        <row r="177">
          <cell r="D177" t="str">
            <v>Окраска потолков в/д акрилатными составами</v>
          </cell>
        </row>
        <row r="178">
          <cell r="D178" t="str">
            <v>Окраска потолков в/д ПВА составами</v>
          </cell>
        </row>
        <row r="179">
          <cell r="D179" t="str">
            <v>Окраска потолков масляными составами</v>
          </cell>
        </row>
        <row r="180">
          <cell r="D180" t="str">
            <v>Окраска потолков под фактуру "шагрень"</v>
          </cell>
        </row>
        <row r="181">
          <cell r="D181" t="str">
            <v>Окраска стен в/д акрилатными составами</v>
          </cell>
        </row>
        <row r="182">
          <cell r="D182" t="str">
            <v>Окраска стен в/д ПВА составами</v>
          </cell>
        </row>
        <row r="183">
          <cell r="D183" t="str">
            <v>Окраска стен масляными составами</v>
          </cell>
        </row>
        <row r="184">
          <cell r="D184" t="str">
            <v>Окраска стен под фактуру "шагрень"</v>
          </cell>
        </row>
        <row r="185">
          <cell r="D185" t="str">
            <v>Окрытие элементов кровли</v>
          </cell>
        </row>
        <row r="186">
          <cell r="D186" t="str">
            <v>Оплата застройщику</v>
          </cell>
        </row>
        <row r="187">
          <cell r="D187" t="str">
            <v>Монтаж и опломбировка квартирных электросчетчиков</v>
          </cell>
        </row>
        <row r="188">
          <cell r="D188" t="str">
            <v>Организация площадки для мойки колес</v>
          </cell>
        </row>
        <row r="189">
          <cell r="D189" t="str">
            <v>Оргтехника</v>
          </cell>
        </row>
        <row r="190">
          <cell r="D190" t="str">
            <v>Осветительные приборы</v>
          </cell>
        </row>
        <row r="191">
          <cell r="D191" t="str">
            <v>Освидетельствование и опломбирование узлов учета</v>
          </cell>
        </row>
        <row r="192">
          <cell r="D192" t="str">
            <v>Основные разделы проекта стадии "П"</v>
          </cell>
        </row>
        <row r="193">
          <cell r="D193" t="str">
            <v>Отделочные работы по лифтам</v>
          </cell>
        </row>
        <row r="194">
          <cell r="D194" t="str">
            <v>Отключение и включение водопроводных задвижек</v>
          </cell>
        </row>
        <row r="195">
          <cell r="D195" t="str">
            <v>Отопление, вентиляция и ГВС</v>
          </cell>
        </row>
        <row r="196">
          <cell r="D196" t="str">
            <v>Отрывка котлована вручную</v>
          </cell>
        </row>
        <row r="197">
          <cell r="D197" t="str">
            <v>Офисная мебель</v>
          </cell>
        </row>
        <row r="198">
          <cell r="D198" t="str">
            <v>Оформление акта допуска ИТП в пуско-наладку</v>
          </cell>
        </row>
        <row r="199">
          <cell r="D199" t="str">
            <v>Оформление акта допуска котельной в пуско-наладку</v>
          </cell>
        </row>
        <row r="200">
          <cell r="D200" t="str">
            <v>Оформление акта допуска ТП в пуско-наладку</v>
          </cell>
        </row>
        <row r="201">
          <cell r="D201" t="str">
            <v>Оформление акта разграничения балансовой принадлежностей газовых сетей</v>
          </cell>
        </row>
        <row r="202">
          <cell r="D202" t="str">
            <v>Оформление акта разграничения балансовой принадлежности тепловых сетей</v>
          </cell>
        </row>
        <row r="203">
          <cell r="D203" t="str">
            <v>Оформление акта разграничения балансовой принадлежности электросетей</v>
          </cell>
        </row>
        <row r="204">
          <cell r="D204" t="str">
            <v>Охрана объекта, строительных материалов и техники</v>
          </cell>
        </row>
        <row r="205">
          <cell r="D205" t="str">
            <v>Оценка технического состояния здания</v>
          </cell>
        </row>
        <row r="206">
          <cell r="D206" t="str">
            <v>Парапеты бетонные</v>
          </cell>
        </row>
        <row r="207">
          <cell r="D207" t="str">
            <v>Парапеты кирпичные</v>
          </cell>
        </row>
        <row r="208">
          <cell r="D208" t="str">
            <v>Перевод объекта на постоянные источники инженерного оборудования</v>
          </cell>
        </row>
        <row r="209">
          <cell r="D209" t="str">
            <v>Перевозка и монтаж КБ</v>
          </cell>
        </row>
        <row r="210">
          <cell r="D210" t="str">
            <v>Перемычки армоцементные</v>
          </cell>
        </row>
        <row r="211">
          <cell r="D211" t="str">
            <v>Перемычки металлические</v>
          </cell>
        </row>
        <row r="212">
          <cell r="D212" t="str">
            <v>Перемычки сборные ж/б</v>
          </cell>
        </row>
        <row r="213">
          <cell r="D213" t="str">
            <v>Перенос временных ограждений стройплощадки</v>
          </cell>
        </row>
        <row r="214">
          <cell r="D214" t="str">
            <v>План благоустройства и малых форм (БГ)</v>
          </cell>
        </row>
        <row r="215">
          <cell r="D215" t="str">
            <v>План дренажа</v>
          </cell>
        </row>
        <row r="216">
          <cell r="D216" t="str">
            <v>План котлована</v>
          </cell>
        </row>
        <row r="217">
          <cell r="D217" t="str">
            <v>План ростверка/плиты</v>
          </cell>
        </row>
        <row r="218">
          <cell r="D218" t="str">
            <v>План свайнго поля</v>
          </cell>
        </row>
        <row r="219">
          <cell r="D219" t="str">
            <v>Планировка площадей механизированная</v>
          </cell>
        </row>
        <row r="220">
          <cell r="D220" t="str">
            <v>Планово-высотная съемка фундаментов</v>
          </cell>
        </row>
        <row r="221">
          <cell r="D221" t="str">
            <v>Погружение шпунта AZ-25</v>
          </cell>
        </row>
        <row r="222">
          <cell r="D222" t="str">
            <v>Погружение шпунта Л4</v>
          </cell>
        </row>
        <row r="223">
          <cell r="D223" t="str">
            <v>Погружение шпунта Л5</v>
          </cell>
        </row>
        <row r="224">
          <cell r="D224" t="str">
            <v>Выравнивание поверхностей бетонных потолков</v>
          </cell>
        </row>
        <row r="225">
          <cell r="D225" t="str">
            <v>Выравнивание поверхностей бетонных стен</v>
          </cell>
        </row>
        <row r="226">
          <cell r="D226" t="str">
            <v>Выравнивание поверхностей газобетонных стен</v>
          </cell>
        </row>
        <row r="227">
          <cell r="D227" t="str">
            <v>Выравнивание поверхностей кирпичных стен</v>
          </cell>
        </row>
        <row r="228">
          <cell r="D228" t="str">
            <v>Выравнивание поверхностей пазогребневых стен</v>
          </cell>
        </row>
        <row r="229">
          <cell r="D229" t="str">
            <v>Подготовка поверхностей полов под отделку по дизайн-проекту</v>
          </cell>
        </row>
        <row r="230">
          <cell r="D230" t="str">
            <v>Подготовка поверхностей потолков под чистовую отделку по дизайн-проекту</v>
          </cell>
        </row>
        <row r="231">
          <cell r="D231" t="str">
            <v>Подготовка поверхностей стен под чистовую отделку по дизайн-проекту</v>
          </cell>
        </row>
        <row r="232">
          <cell r="D232" t="str">
            <v>Подсыпка щебнем</v>
          </cell>
        </row>
        <row r="233">
          <cell r="D233" t="str">
            <v>Получение задания на забивку пробных свай</v>
          </cell>
        </row>
        <row r="234">
          <cell r="D234" t="str">
            <v>Получение заключения на внесение работ в адресную программу (ГАТИ)</v>
          </cell>
        </row>
        <row r="235">
          <cell r="D235" t="str">
            <v>Получение заключения на подключение к наружным инженерным сетям</v>
          </cell>
        </row>
        <row r="236">
          <cell r="D236" t="str">
            <v>Получение разрешения на производство подготовительных работ (ГАСН)</v>
          </cell>
        </row>
        <row r="237">
          <cell r="D237" t="str">
            <v>Получение разрешения на производство строительно-монтажных работ (ГАСН)</v>
          </cell>
        </row>
        <row r="238">
          <cell r="D238" t="str">
            <v>Получение разрешения на установку временного ограждения строительной площадки (Дортехнология)</v>
          </cell>
        </row>
        <row r="239">
          <cell r="D239" t="str">
            <v>Получение разрешения на устройство въездов (Дортехнология)</v>
          </cell>
        </row>
        <row r="240">
          <cell r="D240" t="str">
            <v>Получение справки о сносе строений</v>
          </cell>
        </row>
        <row r="241">
          <cell r="D241" t="str">
            <v>Получение технического паспорта строения (ГУИОН)</v>
          </cell>
        </row>
        <row r="242">
          <cell r="D242" t="str">
            <v>Получение чертежей ПИБ рядом стоящих зданий</v>
          </cell>
        </row>
        <row r="243">
          <cell r="D243" t="str">
            <v>Пользование архивной и технической документацией для проектирования жилого дома</v>
          </cell>
        </row>
        <row r="244">
          <cell r="D244" t="str">
            <v>Посадка декоративных кустарников</v>
          </cell>
        </row>
        <row r="245">
          <cell r="D245" t="str">
            <v>Посадка деревьев</v>
          </cell>
        </row>
        <row r="246">
          <cell r="D246" t="str">
            <v>Предметы интерьера</v>
          </cell>
        </row>
        <row r="247">
          <cell r="D247" t="str">
            <v>Приемка ИТП в эксплуатацию</v>
          </cell>
        </row>
        <row r="248">
          <cell r="D248" t="str">
            <v>Проведение геодезического мониторинга</v>
          </cell>
        </row>
        <row r="249">
          <cell r="D249" t="str">
            <v>Проведение годичного мониторинга</v>
          </cell>
        </row>
        <row r="250">
          <cell r="D250" t="str">
            <v>Проведение государственной вневедомственной экспертизы (УГВЭ)</v>
          </cell>
        </row>
        <row r="251">
          <cell r="D251" t="str">
            <v>Проведение Государственной приемочной комиссии</v>
          </cell>
        </row>
        <row r="252">
          <cell r="D252" t="str">
            <v>Проведение государственной экологической, санитарно-эпидемиологической экспертизы проекта</v>
          </cell>
        </row>
        <row r="253">
          <cell r="D253" t="str">
            <v>Проведение инвентаризации жилого дома</v>
          </cell>
        </row>
        <row r="254">
          <cell r="D254" t="str">
            <v>Проведение инвентаризации земельного участка по функциональному использованию территории</v>
          </cell>
        </row>
        <row r="255">
          <cell r="D255" t="str">
            <v>Проведение инвентаризации инженерных сетей</v>
          </cell>
        </row>
        <row r="256">
          <cell r="D256" t="str">
            <v>Проведение инвентаризации трансформаторной подстанции</v>
          </cell>
        </row>
        <row r="257">
          <cell r="D257" t="str">
            <v>Проведение повторной экспертизы проекта</v>
          </cell>
        </row>
        <row r="258">
          <cell r="D258" t="str">
            <v>Проект временного водоснабжения и канализации</v>
          </cell>
        </row>
        <row r="259">
          <cell r="D259" t="str">
            <v>Проект временного электроснабжения</v>
          </cell>
        </row>
        <row r="260">
          <cell r="D260" t="str">
            <v>Проект временной теплосети</v>
          </cell>
        </row>
        <row r="261">
          <cell r="D261" t="str">
            <v>Проект выноса газоснабжения</v>
          </cell>
        </row>
        <row r="262">
          <cell r="D262" t="str">
            <v>Проект выноса сетей анодной, катодной защиты</v>
          </cell>
        </row>
        <row r="263">
          <cell r="D263" t="str">
            <v>Проект выноса сетей водопровода</v>
          </cell>
        </row>
        <row r="264">
          <cell r="D264" t="str">
            <v>Проект выноса сетей канализации</v>
          </cell>
        </row>
        <row r="265">
          <cell r="D265" t="str">
            <v>Проект выноса сетей телефонизации</v>
          </cell>
        </row>
        <row r="266">
          <cell r="D266" t="str">
            <v>Проект выноса сетей электроснабжения</v>
          </cell>
        </row>
        <row r="267">
          <cell r="D267" t="str">
            <v>Проект инженерных систем стадии "П"</v>
          </cell>
        </row>
        <row r="268">
          <cell r="D268" t="str">
            <v>Проект интерьеров общественных зон (МОП)</v>
          </cell>
        </row>
        <row r="269">
          <cell r="D269" t="str">
            <v>Проект ландшафтного дизайна</v>
          </cell>
        </row>
        <row r="270">
          <cell r="D270" t="str">
            <v>Проект производства работ</v>
          </cell>
        </row>
        <row r="271">
          <cell r="D271" t="str">
            <v>Проект технологии реставрационных работ на фасадах здания</v>
          </cell>
        </row>
        <row r="272">
          <cell r="D272" t="str">
            <v>Противопожарное остекление фасадов</v>
          </cell>
        </row>
        <row r="273">
          <cell r="D273" t="str">
            <v>Прочие работы по временным сетям</v>
          </cell>
        </row>
        <row r="274">
          <cell r="D274" t="str">
            <v>Прочие работы по выполнению общестроительных работ по надземной части здания</v>
          </cell>
        </row>
        <row r="275">
          <cell r="D275" t="str">
            <v>Прочие работы по наружным слаботочным сетям</v>
          </cell>
        </row>
        <row r="276">
          <cell r="D276" t="str">
            <v>Прочие работы по получению ТУ на проектирование/присоединение к наружным инженерным сетям</v>
          </cell>
        </row>
        <row r="277">
          <cell r="D277" t="str">
            <v>Прочие работы по проектированию выноса наружных инженерных сетей</v>
          </cell>
        </row>
        <row r="278">
          <cell r="D278" t="str">
            <v>Прочие работы по содержанию и сдаче объекта</v>
          </cell>
        </row>
        <row r="279">
          <cell r="D279" t="str">
            <v>Прочие работы по техническому надзору</v>
          </cell>
        </row>
        <row r="280">
          <cell r="D280" t="str">
            <v>Работы по ландшафтному дизайну территории благоустройства</v>
          </cell>
        </row>
        <row r="281">
          <cell r="D281" t="str">
            <v>Санитарно-эпидемиологическое обследование участка строительства</v>
          </cell>
        </row>
        <row r="282">
          <cell r="D282" t="str">
            <v>Радиофикация жилого дома</v>
          </cell>
        </row>
        <row r="283">
          <cell r="D283" t="str">
            <v>Разбивка границ земельного участка</v>
          </cell>
        </row>
        <row r="284">
          <cell r="D284" t="str">
            <v>Разбивка основных осей зданий и перенос их в натуру</v>
          </cell>
        </row>
        <row r="285">
          <cell r="D285" t="str">
            <v>Разбивочный план осей</v>
          </cell>
        </row>
        <row r="286">
          <cell r="D286" t="str">
            <v>Раздел: автоматизации вентиляционных систем (АОВ)</v>
          </cell>
        </row>
        <row r="287">
          <cell r="D287" t="str">
            <v>Раздел: автоматизация противопожарной защиты (АПП, АППЗ)</v>
          </cell>
        </row>
        <row r="288">
          <cell r="D288" t="str">
            <v>Раздел: архитектурные решения и детали (АР, АР-1)</v>
          </cell>
        </row>
        <row r="289">
          <cell r="D289" t="str">
            <v>Раздел: видеонаблюдение</v>
          </cell>
        </row>
        <row r="290">
          <cell r="D290" t="str">
            <v>Раздел: водопровод и канализация (ВК, АВК)</v>
          </cell>
        </row>
        <row r="291">
          <cell r="D291" t="str">
            <v>Раздел: водоснабжение и канализация (НВК)</v>
          </cell>
        </row>
        <row r="292">
          <cell r="D292" t="str">
            <v>Раздел: газоснабжение (НГС)</v>
          </cell>
        </row>
        <row r="293">
          <cell r="D293" t="str">
            <v>Раздел: генеральный план (ГП)</v>
          </cell>
        </row>
        <row r="294">
          <cell r="D294" t="str">
            <v>Раздел: ГО и ЧС</v>
          </cell>
        </row>
        <row r="295">
          <cell r="D295" t="str">
            <v>Раздел: диспетчеризация (СС-2)</v>
          </cell>
        </row>
        <row r="296">
          <cell r="D296" t="str">
            <v>Раздел: домофонизация (СС-4)</v>
          </cell>
        </row>
        <row r="297">
          <cell r="D297" t="str">
            <v>Раздел: ИТП</v>
          </cell>
        </row>
        <row r="298">
          <cell r="D298" t="str">
            <v>Раздел: КЖ нулевого цикла (КЖ-0)</v>
          </cell>
        </row>
        <row r="299">
          <cell r="D299" t="str">
            <v>Раздел: конструкции железобетонные (КЖ)</v>
          </cell>
        </row>
        <row r="300">
          <cell r="D300" t="str">
            <v>Раздел: конструкции металлические (КМ)</v>
          </cell>
        </row>
        <row r="301">
          <cell r="D301" t="str">
            <v>Раздел: мероприятия по охране окружающей среды (ОКС)</v>
          </cell>
        </row>
        <row r="302">
          <cell r="D302" t="str">
            <v>Раздел: монтаж и эксплуатация лифтов (ТХ-1)</v>
          </cell>
        </row>
        <row r="303">
          <cell r="D303" t="str">
            <v>Раздел: ОДК</v>
          </cell>
        </row>
        <row r="304">
          <cell r="D304" t="str">
            <v>Раздел: отопление и вентиляция (ОВ)</v>
          </cell>
        </row>
        <row r="305">
          <cell r="D305" t="str">
            <v>Раздел: охранно-пожарная сигнализация (ОПС)</v>
          </cell>
        </row>
        <row r="306">
          <cell r="D306" t="str">
            <v>Раздел: проект организации строительства (в т.ч. Стройгенплан)</v>
          </cell>
        </row>
        <row r="307">
          <cell r="D307" t="str">
            <v>Раздел: проект очистки воды</v>
          </cell>
        </row>
        <row r="308">
          <cell r="D308" t="str">
            <v>Раздел: радиофикация (НСС, СС)</v>
          </cell>
        </row>
        <row r="309">
          <cell r="D309" t="str">
            <v>Раздел: радиофикация (СС-2)</v>
          </cell>
        </row>
        <row r="310">
          <cell r="D310" t="str">
            <v>Раздел: система газоснабжения (ГС, ГСВ)</v>
          </cell>
        </row>
        <row r="311">
          <cell r="D311" t="str">
            <v>Раздел: система телевидения (СС-3)</v>
          </cell>
        </row>
        <row r="312">
          <cell r="D312" t="str">
            <v>Раздел: строительство/реконструкция ЦТП</v>
          </cell>
        </row>
        <row r="313">
          <cell r="D313" t="str">
            <v>Раздел: телевидение (ТВС)</v>
          </cell>
        </row>
        <row r="314">
          <cell r="D314" t="str">
            <v>Раздел: телефонизация (НСС, СС)</v>
          </cell>
        </row>
        <row r="315">
          <cell r="D315" t="str">
            <v>Раздел: телефонизация (СС-1)</v>
          </cell>
        </row>
        <row r="316">
          <cell r="D316" t="str">
            <v>Раздел: теплоснабжение (ТС)</v>
          </cell>
        </row>
        <row r="317">
          <cell r="D317" t="str">
            <v>Раздел: технология (ТХ)</v>
          </cell>
        </row>
        <row r="318">
          <cell r="D318" t="str">
            <v>Раздел: трансформаторная подстанция (ТП)</v>
          </cell>
        </row>
        <row r="319">
          <cell r="D319" t="str">
            <v>Раздел: уравнивание потенциалов</v>
          </cell>
        </row>
        <row r="320">
          <cell r="D320" t="str">
            <v>Раздел: электрооборудование (ЭО)</v>
          </cell>
        </row>
        <row r="321">
          <cell r="D321" t="str">
            <v>Раздел: электроснабжение (НС ЭЗ, ЭХЗ)</v>
          </cell>
        </row>
        <row r="322">
          <cell r="D322" t="str">
            <v>Раздел: электроснабжение (ЭС, ЭК)</v>
          </cell>
        </row>
        <row r="323">
          <cell r="D323" t="str">
            <v>Разработка мероприятий обеспечения пожарной безопасности</v>
          </cell>
        </row>
        <row r="324">
          <cell r="D324" t="str">
            <v>Разработка ОПР (планировки, фасады)</v>
          </cell>
        </row>
        <row r="325">
          <cell r="D325" t="str">
            <v>Разработка проекта горизонтальной планировки ПГП</v>
          </cell>
        </row>
        <row r="326">
          <cell r="D326" t="str">
            <v>Разработка проекта границ землепользования</v>
          </cell>
        </row>
        <row r="327">
          <cell r="D327" t="str">
            <v>Разработка проекта охранной зоны</v>
          </cell>
        </row>
        <row r="328">
          <cell r="D328" t="str">
            <v>Разработка энергетического паспорта</v>
          </cell>
        </row>
        <row r="329">
          <cell r="D329" t="str">
            <v>Регистрация градостроительной документации и присвоение кадастрового номера (ГУИОН)</v>
          </cell>
        </row>
        <row r="330">
          <cell r="D330" t="str">
            <v>Регистрация градостроительной документации и присвоение кадастрового номера (КГА)</v>
          </cell>
        </row>
        <row r="331">
          <cell r="D331" t="str">
            <v>Регистрация опасного производственного объекта в гос.реестре - газовой котельной</v>
          </cell>
        </row>
        <row r="332">
          <cell r="D332" t="str">
            <v>Регистрация ТУ (КЭИО)</v>
          </cell>
        </row>
        <row r="333">
          <cell r="D333" t="str">
            <v>Сантехнические аксессуары</v>
          </cell>
        </row>
        <row r="334">
          <cell r="D334" t="str">
            <v>Сбор инженерных нагрузок и подготовка ТУ</v>
          </cell>
        </row>
        <row r="335">
          <cell r="D335" t="str">
            <v>Сверка расположения наружных инженерных сетей на топографической съемке</v>
          </cell>
        </row>
        <row r="336">
          <cell r="D336" t="str">
            <v>Сводный план инженерных сетей</v>
          </cell>
        </row>
        <row r="337">
          <cell r="D337" t="str">
            <v>Сейф</v>
          </cell>
        </row>
        <row r="338">
          <cell r="D338" t="str">
            <v>Сертификация электрооборудования</v>
          </cell>
        </row>
        <row r="339">
          <cell r="D339" t="str">
            <v>Система АППЗ</v>
          </cell>
        </row>
        <row r="340">
          <cell r="D340" t="str">
            <v>Система воздушных завес</v>
          </cell>
        </row>
        <row r="341">
          <cell r="D341" t="str">
            <v>Система контроля и управления доступом</v>
          </cell>
        </row>
        <row r="342">
          <cell r="D342" t="str">
            <v>Система охранной сигнализации</v>
          </cell>
        </row>
        <row r="343">
          <cell r="D343" t="str">
            <v>Снятие охранной зоны</v>
          </cell>
        </row>
        <row r="344">
          <cell r="D344" t="str">
            <v>Согласование восстановительной стоимости зеленых насаждений с ее оплатой</v>
          </cell>
        </row>
        <row r="345">
          <cell r="D345" t="str">
            <v>Согласование высот (СЗУГАН-аэрофлот)</v>
          </cell>
        </row>
        <row r="346">
          <cell r="D346" t="str">
            <v>Согласование генплана застройки (Администрация)</v>
          </cell>
        </row>
        <row r="347">
          <cell r="D347" t="str">
            <v>Согласование генплана застройки (ГИБДД)</v>
          </cell>
        </row>
        <row r="348">
          <cell r="D348" t="str">
            <v>Согласование генплана застройки (Дортехнология)</v>
          </cell>
        </row>
        <row r="349">
          <cell r="D349" t="str">
            <v>Согласование генплана застройки (Кабельные сети)</v>
          </cell>
        </row>
        <row r="350">
          <cell r="D350" t="str">
            <v>Согласование генплана застройки (КБДХ)</v>
          </cell>
        </row>
        <row r="351">
          <cell r="D351" t="str">
            <v>Согласование генплана застройки (ОПС КГА)</v>
          </cell>
        </row>
        <row r="352">
          <cell r="D352" t="str">
            <v>Согласование концепт-дизайна (КГА)</v>
          </cell>
        </row>
        <row r="353">
          <cell r="D353" t="str">
            <v>Согласование объемно-планировочных решений (Главный Архитектор)</v>
          </cell>
        </row>
        <row r="354">
          <cell r="D354" t="str">
            <v>Согласование объемно-планировочных решений (КГА)</v>
          </cell>
        </row>
        <row r="355">
          <cell r="D355" t="str">
            <v>Согласование объемно-планировочных решений (КГИОП)</v>
          </cell>
        </row>
        <row r="356">
          <cell r="D356" t="str">
            <v>Согласование ПОС (ГП)</v>
          </cell>
        </row>
        <row r="357">
          <cell r="D357" t="str">
            <v>Согласование программы пуско-наладочных работ по системе отопления (Энергосбыт)</v>
          </cell>
        </row>
        <row r="358">
          <cell r="D358" t="str">
            <v>Согласование проекта автоматики пожаротушения, оповещения людей при пожаре</v>
          </cell>
        </row>
        <row r="359">
          <cell r="D359" t="str">
            <v>Согласование проекта внутренних и наружных сетей канализации и водоснабжения (Водоканал)</v>
          </cell>
        </row>
        <row r="360">
          <cell r="D360" t="str">
            <v>Согласование проекта временного водоснабжения и канализации (Водоканал)</v>
          </cell>
        </row>
        <row r="361">
          <cell r="D361" t="str">
            <v>Согласование проекта временного электроснабжения (Ленэнерго)</v>
          </cell>
        </row>
        <row r="362">
          <cell r="D362" t="str">
            <v>Согласование проекта выноса (Дортехнология)</v>
          </cell>
        </row>
        <row r="363">
          <cell r="D363" t="str">
            <v>Согласование проекта выноса (ОПС КГА)</v>
          </cell>
        </row>
        <row r="364">
          <cell r="D364" t="str">
            <v>Согласование проекта выноса (УСПХ)</v>
          </cell>
        </row>
        <row r="365">
          <cell r="D365" t="str">
            <v>Согласование проекта выноса газоснабжения (ПетербургГаз)</v>
          </cell>
        </row>
        <row r="366">
          <cell r="D366" t="str">
            <v>Согласование проекта ИТП (ТГК ТЭК)</v>
          </cell>
        </row>
        <row r="367">
          <cell r="D367" t="str">
            <v>Согласование проекта канализации и водоснабжения (Водоканале)</v>
          </cell>
        </row>
        <row r="368">
          <cell r="D368" t="str">
            <v>Согласование проекта лифтов (Промышленная инспекция)</v>
          </cell>
        </row>
        <row r="369">
          <cell r="D369" t="str">
            <v>Согласование проекта наружных сетей теплоснабжения (Антикор)</v>
          </cell>
        </row>
        <row r="370">
          <cell r="D370" t="str">
            <v>Согласование проекта наружных сетей теплоснабжения (Промышленная инспекция)</v>
          </cell>
        </row>
        <row r="371">
          <cell r="D371" t="str">
            <v>Согласование проекта радиофикации (РТУ)</v>
          </cell>
        </row>
        <row r="372">
          <cell r="D372" t="str">
            <v>Согласование проекта телевидения (ТКТ)</v>
          </cell>
        </row>
        <row r="373">
          <cell r="D373" t="str">
            <v>Согласование проекта телефонизации (Телеком)</v>
          </cell>
        </row>
        <row r="374">
          <cell r="D374" t="str">
            <v>Согласование проекта выноса сетей телефонизации (Телеком)</v>
          </cell>
        </row>
        <row r="375">
          <cell r="D375" t="str">
            <v>Согласование проекта технологического регламента обращения со строительными отходами (ЖК)</v>
          </cell>
        </row>
        <row r="376">
          <cell r="D376" t="str">
            <v>Согласование проекта требованиям пожарной безопасности</v>
          </cell>
        </row>
        <row r="377">
          <cell r="D377" t="str">
            <v>Согласование проекта электроснабжения (Ленэнерго)</v>
          </cell>
        </row>
        <row r="378">
          <cell r="D378" t="str">
            <v>Согласование проекта выноса сетей электроснабжения (Ленэнерго)</v>
          </cell>
        </row>
        <row r="379">
          <cell r="D379" t="str">
            <v>Согласование проектной документации котельной</v>
          </cell>
        </row>
        <row r="380">
          <cell r="D380" t="str">
            <v>Согласование прочей проектной документации</v>
          </cell>
        </row>
        <row r="381">
          <cell r="D381" t="str">
            <v>Согласование раздела проекта "Благоустройство" ("Кабельные сети")</v>
          </cell>
        </row>
        <row r="382">
          <cell r="D382" t="str">
            <v>Согласование раздела проекта "Благоустройство" (Дортехнология)</v>
          </cell>
        </row>
        <row r="383">
          <cell r="D383" t="str">
            <v>Согласование раздела проекта "Благоустройство" (КБДХ)</v>
          </cell>
        </row>
        <row r="384">
          <cell r="D384" t="str">
            <v>Согласование раздела проекта "Благоустройство" (ОПС)</v>
          </cell>
        </row>
        <row r="385">
          <cell r="D385" t="str">
            <v>Согласование раздела проекта "Внутренние и наружные  инженерные сети электроснабжения" (УМИТЦ)</v>
          </cell>
        </row>
        <row r="386">
          <cell r="D386" t="str">
            <v>Согласование раздела проекта "Внутренние и наружные инженерные сети теплоснабжения" (БалтГосЭнергонадзор)</v>
          </cell>
        </row>
        <row r="387">
          <cell r="D387" t="str">
            <v>Согласование раздела проекта "Внутренние и наружные инженерные сети теплоснабжения" (ГП ТЭК)</v>
          </cell>
        </row>
        <row r="388">
          <cell r="D388" t="str">
            <v>Согласование раздела проекта "Внутренние и наружные инженерные сети теплоснабжения" (УМИТЦ)</v>
          </cell>
        </row>
        <row r="389">
          <cell r="D389" t="str">
            <v>Согласование раздела проекта "Внутренние и наружные инженерные сети электроснабжения" (БалтГосЭнергонадзор)</v>
          </cell>
        </row>
        <row r="390">
          <cell r="D390" t="str">
            <v>Согласование раздела проекта "Внутренние инженерные сети электроснабжения" (Петроэлектросбыт)</v>
          </cell>
        </row>
        <row r="391">
          <cell r="D391" t="str">
            <v>Согласование раздела проекта "ИТМ ГО и ЧС"</v>
          </cell>
        </row>
        <row r="392">
          <cell r="D392" t="str">
            <v>Согласование раздела проекта временные инженерные сети электроснабжения" (БалтГосЭнергонадзор)</v>
          </cell>
        </row>
        <row r="393">
          <cell r="D393" t="str">
            <v>Согласование раздела проекта временные инженерные сети электроснабжения" (УМИТЦ)</v>
          </cell>
        </row>
        <row r="394">
          <cell r="D394" t="str">
            <v>Согласование раздела проекта инженерные сети теплоснабжения" (ГП ТЭК)</v>
          </cell>
        </row>
        <row r="395">
          <cell r="D395" t="str">
            <v>Согласование сводного плана инженерных сетей (Дортехнология)</v>
          </cell>
        </row>
        <row r="396">
          <cell r="D396" t="str">
            <v>Согласование сводного плана инженерных сетей (Кабельные сети)</v>
          </cell>
        </row>
        <row r="397">
          <cell r="D397" t="str">
            <v>Согласование сводного плана инженерных сетей (КБДХ)</v>
          </cell>
        </row>
        <row r="398">
          <cell r="D398" t="str">
            <v>Согласование сводного плана инженерных сетей (ОПС)</v>
          </cell>
        </row>
        <row r="399">
          <cell r="D399" t="str">
            <v>Согласование стройгенплана (Администрация)</v>
          </cell>
        </row>
        <row r="400">
          <cell r="D400" t="str">
            <v>Согласование стройгенплана (Дортехнология)</v>
          </cell>
        </row>
        <row r="401">
          <cell r="D401" t="str">
            <v>Согласование стройгенплана (Кабельные сети)</v>
          </cell>
        </row>
        <row r="402">
          <cell r="D402" t="str">
            <v>Согласование стройгенплана (КБДХ)</v>
          </cell>
        </row>
        <row r="403">
          <cell r="D403" t="str">
            <v>Согласование энергетического паспорта проекта</v>
          </cell>
        </row>
        <row r="404">
          <cell r="D404" t="str">
            <v>Спортивное оборудование</v>
          </cell>
        </row>
        <row r="405">
          <cell r="D405" t="str">
            <v>Справка о состоянии тепловых сетей</v>
          </cell>
        </row>
        <row r="406">
          <cell r="D406" t="str">
            <v>Срубка свай, Д до 450мм</v>
          </cell>
        </row>
        <row r="407">
          <cell r="D407" t="str">
            <v>Срубка свай, Д свыше 450мм</v>
          </cell>
        </row>
        <row r="408">
          <cell r="D408" t="str">
            <v>Стоимость оборудования и материалов наружного освещения здания</v>
          </cell>
        </row>
        <row r="409">
          <cell r="D409" t="str">
            <v>Стоимость оборудования и материалов сетей радиофикации</v>
          </cell>
        </row>
        <row r="410">
          <cell r="D410" t="str">
            <v>Стоимость оборудования и материалов сетей телевидения</v>
          </cell>
        </row>
        <row r="411">
          <cell r="D411" t="str">
            <v>Стоимость оборудования и материалов сетей телефонизации</v>
          </cell>
        </row>
        <row r="412">
          <cell r="D412" t="str">
            <v>Стоимость оборудования и материалов системы диспетчеризации</v>
          </cell>
        </row>
        <row r="413">
          <cell r="D413" t="str">
            <v>Стоимость оборудования и материалов системы кондиционирования</v>
          </cell>
        </row>
        <row r="414">
          <cell r="D414" t="str">
            <v>Стоимость оборудования и материалов системы электроснабжения</v>
          </cell>
        </row>
        <row r="415">
          <cell r="D415" t="str">
            <v>Стоимость оборудования лифтов</v>
          </cell>
        </row>
        <row r="416">
          <cell r="D416" t="str">
            <v>Страхование рисков, связанных с осуществлением строительной деятельности</v>
          </cell>
        </row>
        <row r="417">
          <cell r="D417" t="str">
            <v>Строительство и оборудование котельной</v>
          </cell>
        </row>
        <row r="418">
          <cell r="D418" t="str">
            <v>Строительство ТП (КТПН, БКТП) на 1260кВА (2х630)</v>
          </cell>
        </row>
        <row r="419">
          <cell r="D419" t="str">
            <v>Строительство ТП (КТПН, БКТП) на 630кВА</v>
          </cell>
        </row>
        <row r="420">
          <cell r="D420" t="str">
            <v>Строительство/реконструкция ЦТП</v>
          </cell>
        </row>
        <row r="421">
          <cell r="D421" t="str">
            <v>Телевидение жилого дома</v>
          </cell>
        </row>
        <row r="422">
          <cell r="D422" t="str">
            <v>Телефонизация жилого дома</v>
          </cell>
        </row>
        <row r="423">
          <cell r="D423" t="str">
            <v>Телефонизация, радиофикация, диспетчеризация, телевидение</v>
          </cell>
        </row>
        <row r="424">
          <cell r="D424" t="str">
            <v>Теплая кровля с покрытием RANILA</v>
          </cell>
        </row>
        <row r="425">
          <cell r="D425" t="str">
            <v>Тепловизионное обследование ограждающих конструкций</v>
          </cell>
        </row>
        <row r="426">
          <cell r="D426" t="str">
            <v>Технический надзор за работами по монтажу ИТП и системам теплоснабжения</v>
          </cell>
        </row>
        <row r="427">
          <cell r="D427" t="str">
            <v>Технический надзор за строительством / выносом водопроводной сети</v>
          </cell>
        </row>
        <row r="428">
          <cell r="D428" t="str">
            <v>Технический надзор за строительством / выносом канализационной сети</v>
          </cell>
        </row>
        <row r="429">
          <cell r="D429" t="str">
            <v>Технический надзор за строительством водопроводного ввода</v>
          </cell>
        </row>
        <row r="430">
          <cell r="D430" t="str">
            <v>Технический надзор за строительством/выносом тепловой сети</v>
          </cell>
        </row>
        <row r="431">
          <cell r="D431" t="str">
            <v>Техническое заключение о состоянии ОДК</v>
          </cell>
        </row>
        <row r="432">
          <cell r="D432" t="str">
            <v>Техническое обследование котельной</v>
          </cell>
        </row>
        <row r="433">
          <cell r="D433" t="str">
            <v>Техническое освидетельствование лифтов</v>
          </cell>
        </row>
        <row r="434">
          <cell r="D434" t="str">
            <v>Технологический регламент обращения со строительными отходами</v>
          </cell>
        </row>
        <row r="435">
          <cell r="D435" t="str">
            <v>Техобслуживание газопровода и системы контроля загазованности</v>
          </cell>
        </row>
        <row r="436">
          <cell r="D436" t="str">
            <v>Техобслуживание тепловых сетей</v>
          </cell>
        </row>
        <row r="437">
          <cell r="D437" t="str">
            <v>Техобслуживание электросетей</v>
          </cell>
        </row>
        <row r="438">
          <cell r="D438" t="str">
            <v>Тонкослойные полимерные акриловые штукатурки, ROCKWOOL 100мм</v>
          </cell>
        </row>
        <row r="439">
          <cell r="D439" t="str">
            <v>Тонкослойные полимерные акриловые штукатурки, ROCKWOOL 150мм</v>
          </cell>
        </row>
        <row r="440">
          <cell r="D440" t="str">
            <v>Топографическая съемка здания и подземных инженерных коммуникаций</v>
          </cell>
        </row>
        <row r="441">
          <cell r="D441" t="str">
            <v>ТУ на временные сети телефонизации</v>
          </cell>
        </row>
        <row r="442">
          <cell r="D442" t="str">
            <v>ТУ на временные сети электроснабжения стройплощадки</v>
          </cell>
        </row>
        <row r="443">
          <cell r="D443" t="str">
            <v>ТУ на вынос воздушных сетей</v>
          </cell>
        </row>
        <row r="444">
          <cell r="D444" t="str">
            <v>ТУ на вынос сетей водоснабжения и канализации</v>
          </cell>
        </row>
        <row r="445">
          <cell r="D445" t="str">
            <v>ТУ на вынос сетей газоснабжения</v>
          </cell>
        </row>
        <row r="446">
          <cell r="D446" t="str">
            <v>ТУ на вынос сетей радиофикации</v>
          </cell>
        </row>
        <row r="447">
          <cell r="D447" t="str">
            <v>ТУ на вынос сетей телефонизации</v>
          </cell>
        </row>
        <row r="448">
          <cell r="D448" t="str">
            <v>ТУ на вынос сетей теплоснабжения</v>
          </cell>
        </row>
        <row r="449">
          <cell r="D449" t="str">
            <v>ТУ на вынос сетей электроснабжения</v>
          </cell>
        </row>
        <row r="450">
          <cell r="D450" t="str">
            <v>ТУ на переустройство контактной сети электротранспорта</v>
          </cell>
        </row>
        <row r="451">
          <cell r="D451" t="str">
            <v>ТУ на переустройство сетей наружного освещения</v>
          </cell>
        </row>
        <row r="452">
          <cell r="D452" t="str">
            <v>ТУ на подключение к системам газоснабжения</v>
          </cell>
        </row>
        <row r="453">
          <cell r="D453" t="str">
            <v>ТУ на подключение к системам теплоснабжения</v>
          </cell>
        </row>
        <row r="454">
          <cell r="D454" t="str">
            <v>ТУ на подключение к системам электроснабжения</v>
          </cell>
        </row>
        <row r="455">
          <cell r="D455" t="str">
            <v>ТУ на присоединение к системам водоснабжения и канализации</v>
          </cell>
        </row>
        <row r="456">
          <cell r="D456" t="str">
            <v>ТУ на проектирование системы коллективного приема телевидения</v>
          </cell>
        </row>
        <row r="457">
          <cell r="D457" t="str">
            <v>ТУ на проектирование сооружений связи</v>
          </cell>
        </row>
        <row r="458">
          <cell r="D458" t="str">
            <v>ТУ на радиофикацию</v>
          </cell>
        </row>
        <row r="459">
          <cell r="D459" t="str">
            <v>ТУ на разработку раздела проекта "ИТМ ГО и ЧС"</v>
          </cell>
        </row>
        <row r="460">
          <cell r="D460" t="str">
            <v>ТУ на электрохимическую защиту подземных сетей и  сооружений теплоснабжения</v>
          </cell>
        </row>
        <row r="461">
          <cell r="D461" t="str">
            <v>ТУ на электрохимическую защиту подземных сетей и сооружений газоснабжения</v>
          </cell>
        </row>
        <row r="462">
          <cell r="D462" t="str">
            <v>Уборка территории прилегающей к стройплощадке</v>
          </cell>
        </row>
        <row r="463">
          <cell r="D463" t="str">
            <v>Уборочная техника</v>
          </cell>
        </row>
        <row r="464">
          <cell r="D464" t="str">
            <v>Укладка линолеума</v>
          </cell>
        </row>
        <row r="465">
          <cell r="D465" t="str">
            <v>Управление проектом</v>
          </cell>
        </row>
        <row r="466">
          <cell r="D466" t="str">
            <v>Усиление наружных стен</v>
          </cell>
        </row>
        <row r="467">
          <cell r="D467" t="str">
            <v>Усиление фундаментов</v>
          </cell>
        </row>
        <row r="468">
          <cell r="D468" t="str">
            <v>Установка биде</v>
          </cell>
        </row>
        <row r="469">
          <cell r="D469" t="str">
            <v>Установка ванн</v>
          </cell>
        </row>
        <row r="470">
          <cell r="D470" t="str">
            <v>Установка ворот распашных</v>
          </cell>
        </row>
        <row r="471">
          <cell r="D471" t="str">
            <v>Установка ворот рулонных</v>
          </cell>
        </row>
        <row r="472">
          <cell r="D472" t="str">
            <v>Установка временных технических средств регулирования дорожного движения</v>
          </cell>
        </row>
        <row r="473">
          <cell r="D473" t="str">
            <v>Установка геодезических знаков</v>
          </cell>
        </row>
        <row r="474">
          <cell r="D474" t="str">
            <v xml:space="preserve">Установка внутренних дверных блоков стальных </v>
          </cell>
        </row>
        <row r="475">
          <cell r="D475" t="str">
            <v>Установка дверных блоков стальных противопожарных EI60, EI30</v>
          </cell>
        </row>
        <row r="476">
          <cell r="D476" t="str">
            <v>Установка внутренних дверных блоков деревянных</v>
          </cell>
        </row>
        <row r="477">
          <cell r="D477" t="str">
            <v>Установка входных в секцию дверных блоков из ПХВ-профиля</v>
          </cell>
        </row>
        <row r="478">
          <cell r="D478" t="str">
            <v>Установка декоративных фонарей</v>
          </cell>
        </row>
        <row r="479">
          <cell r="D479" t="str">
            <v>Установка декоративных элементов по дизайн проекту</v>
          </cell>
        </row>
        <row r="480">
          <cell r="D480" t="str">
            <v>Установка домовых номерных знаков</v>
          </cell>
        </row>
        <row r="481">
          <cell r="D481" t="str">
            <v>Установка жалюзи, решеток на окна, лестничных указателей и др.</v>
          </cell>
        </row>
        <row r="482">
          <cell r="D482" t="str">
            <v>Установка качелей</v>
          </cell>
        </row>
        <row r="483">
          <cell r="D483" t="str">
            <v>Установка конструкций из ПХВ-профилей (стекло 4мм)</v>
          </cell>
        </row>
        <row r="484">
          <cell r="D484" t="str">
            <v>Установка мойки</v>
          </cell>
        </row>
        <row r="485">
          <cell r="D485" t="str">
            <v>Установка ограждений кровли</v>
          </cell>
        </row>
        <row r="486">
          <cell r="D486" t="str">
            <v>Установка песочниц</v>
          </cell>
        </row>
        <row r="487">
          <cell r="D487" t="str">
            <v>Установка писсуары</v>
          </cell>
        </row>
        <row r="488">
          <cell r="D488" t="str">
            <v>Установка поддона душевого</v>
          </cell>
        </row>
        <row r="489">
          <cell r="D489" t="str">
            <v>Установка почтовых ящиков</v>
          </cell>
        </row>
        <row r="490">
          <cell r="D490" t="str">
            <v>Установка раздвижных конструкций остекления из ПВХ профиля</v>
          </cell>
        </row>
        <row r="491">
          <cell r="D491" t="str">
            <v>Установка системы очистки воды на дом</v>
          </cell>
        </row>
        <row r="492">
          <cell r="D492" t="str">
            <v>Установка скамеек и диванов</v>
          </cell>
        </row>
        <row r="493">
          <cell r="D493" t="str">
            <v>Установка скульптур</v>
          </cell>
        </row>
        <row r="494">
          <cell r="D494" t="str">
            <v>Установка смесителя</v>
          </cell>
        </row>
        <row r="495">
          <cell r="D495" t="str">
            <v>Установка смесителя на ванну</v>
          </cell>
        </row>
        <row r="496">
          <cell r="D496" t="str">
            <v>Установка трапа</v>
          </cell>
        </row>
        <row r="497">
          <cell r="D497" t="str">
            <v>Установка умывальники</v>
          </cell>
        </row>
        <row r="498">
          <cell r="D498" t="str">
            <v>Установка унитазы</v>
          </cell>
        </row>
        <row r="499">
          <cell r="D499" t="str">
            <v>Установка урн и ваз</v>
          </cell>
        </row>
        <row r="500">
          <cell r="D500" t="str">
            <v>Установка фонтанов</v>
          </cell>
        </row>
        <row r="501">
          <cell r="D501" t="str">
            <v>Устройство ангара шумоглушения для дизельной станции</v>
          </cell>
        </row>
        <row r="502">
          <cell r="D502" t="str">
            <v>Устройство бетонной отмостки толщ 90мм</v>
          </cell>
        </row>
        <row r="503">
          <cell r="D503" t="str">
            <v>Устройство бетонных  полов с упрочнением MASTERTOP 100</v>
          </cell>
        </row>
        <row r="504">
          <cell r="D504" t="str">
            <v>Устройство буронабивных свай Д 450-900мм с нестандартным армированием</v>
          </cell>
        </row>
        <row r="505">
          <cell r="D505" t="str">
            <v>Устройство буронабивных свай Д 450-900мм со стандартным армированием</v>
          </cell>
        </row>
        <row r="506">
          <cell r="D506" t="str">
            <v>Устройство буронабивных свай Д более 900мм с нестандартным армированием</v>
          </cell>
        </row>
        <row r="507">
          <cell r="D507" t="str">
            <v>Устройство буронабивных свай Д более 900мм со стандартным армированием</v>
          </cell>
        </row>
        <row r="508">
          <cell r="D508" t="str">
            <v>Устройство буронабивных свай Д до 450мм с нестандартным армированием</v>
          </cell>
        </row>
        <row r="509">
          <cell r="D509" t="str">
            <v>Устройство буронабивных свай Д до 450мм со стандартным армированием</v>
          </cell>
        </row>
        <row r="510">
          <cell r="D510" t="str">
            <v>Устройство видеодомофона</v>
          </cell>
        </row>
        <row r="511">
          <cell r="D511" t="str">
            <v>Устройство внутреннего водопровода ГВС</v>
          </cell>
        </row>
        <row r="512">
          <cell r="D512" t="str">
            <v>Устройство внутреннего водопровода ХВС</v>
          </cell>
        </row>
        <row r="513">
          <cell r="D513" t="str">
            <v>Устройство внутренней системы отопления</v>
          </cell>
        </row>
        <row r="514">
          <cell r="D514" t="str">
            <v>Устройство водомерного узла</v>
          </cell>
        </row>
        <row r="515">
          <cell r="D515" t="str">
            <v>Устройство временного водоснабжения</v>
          </cell>
        </row>
        <row r="516">
          <cell r="D516" t="str">
            <v>Временное электроснабжение от ДЭС 100 кВА</v>
          </cell>
        </row>
        <row r="517">
          <cell r="D517" t="str">
            <v>Временное электроснабжение  от ДЭС 200 кВА</v>
          </cell>
        </row>
        <row r="518">
          <cell r="D518" t="str">
            <v>Временное электроснабжение  от ДЭС 240 кВА</v>
          </cell>
        </row>
        <row r="519">
          <cell r="D519" t="str">
            <v>Временное электроснабжение  от ДЭС 30 кВА</v>
          </cell>
        </row>
        <row r="520">
          <cell r="D520" t="str">
            <v>Временное электроснабжение  от ДЭС 400 кВА</v>
          </cell>
        </row>
        <row r="521">
          <cell r="D521" t="str">
            <v>Временное электроснабжение от постоянного источника</v>
          </cell>
        </row>
        <row r="522">
          <cell r="D522" t="str">
            <v>Аренда биотуалета</v>
          </cell>
        </row>
        <row r="523">
          <cell r="D523" t="str">
            <v>Устройство временных бытовых городков</v>
          </cell>
        </row>
        <row r="524">
          <cell r="D524" t="str">
            <v>Устройство временных дорог из ПАГов</v>
          </cell>
        </row>
        <row r="525">
          <cell r="D525" t="str">
            <v>Устройство временных сетей интернета</v>
          </cell>
        </row>
        <row r="526">
          <cell r="D526" t="str">
            <v>Устройство временных сетей телефонизации</v>
          </cell>
        </row>
        <row r="527">
          <cell r="D527" t="str">
            <v>Устройство вытяжной вентиляции</v>
          </cell>
        </row>
        <row r="528">
          <cell r="D528" t="str">
            <v>Газобетон 100мм</v>
          </cell>
        </row>
        <row r="529">
          <cell r="D529" t="str">
            <v>Устройство газонов рулонных</v>
          </cell>
        </row>
        <row r="530">
          <cell r="D530" t="str">
            <v>Устройство газонов сеяных</v>
          </cell>
        </row>
        <row r="531">
          <cell r="D531" t="str">
            <v>Газобетон 100мм, пенополистирол 50мм, газобетон 100мм</v>
          </cell>
        </row>
        <row r="532">
          <cell r="D532" t="str">
            <v>Пазогребень 80мм, пенополистирол 100мм, пазогребень 80мм</v>
          </cell>
        </row>
        <row r="533">
          <cell r="D533" t="str">
            <v>Пазогребень 80мм, пенополистирол 50мм, пазогребень 80мм</v>
          </cell>
        </row>
        <row r="534">
          <cell r="D534" t="str">
            <v>Пазогребень 160мм</v>
          </cell>
        </row>
        <row r="535">
          <cell r="D535" t="str">
            <v>Устройство декоративной засыпки из мраморной крошки</v>
          </cell>
        </row>
        <row r="536">
          <cell r="D536" t="str">
            <v>Устройство декоративных элементов фасада и линейного окрытия</v>
          </cell>
        </row>
        <row r="537">
          <cell r="D537" t="str">
            <v>Устройство домофона</v>
          </cell>
        </row>
        <row r="538">
          <cell r="D538" t="str">
            <v>Устройство дренажной призмы</v>
          </cell>
        </row>
        <row r="539">
          <cell r="D539" t="str">
            <v>Устройство ж/б фундаментов под стационарный КБ</v>
          </cell>
        </row>
        <row r="540">
          <cell r="D540" t="str">
            <v>Устройство забивных свай</v>
          </cell>
        </row>
        <row r="541">
          <cell r="D541" t="str">
            <v>Устройство забора из панелей самостоящих</v>
          </cell>
        </row>
        <row r="542">
          <cell r="D542" t="str">
            <v>Устройство зеленого ограждения территории</v>
          </cell>
        </row>
        <row r="543">
          <cell r="D543" t="str">
            <v>Устройство ИТП</v>
          </cell>
        </row>
        <row r="544">
          <cell r="D544" t="str">
            <v>Устройство калиток</v>
          </cell>
        </row>
        <row r="545">
          <cell r="D545" t="str">
            <v>Устройство козырьков и навесов</v>
          </cell>
        </row>
        <row r="546">
          <cell r="D546" t="str">
            <v>Устройство котельной внутри дома</v>
          </cell>
        </row>
        <row r="547">
          <cell r="D547" t="str">
            <v>Монтаж пожарных лестниц</v>
          </cell>
        </row>
        <row r="548">
          <cell r="D548" t="str">
            <v>Устройство кровли из гибкой черепицы</v>
          </cell>
        </row>
        <row r="549">
          <cell r="D549" t="str">
            <v>Устройство кровли из натуральной черепицы</v>
          </cell>
        </row>
        <row r="550">
          <cell r="D550" t="str">
            <v>Устройство ленточного фундамента</v>
          </cell>
        </row>
        <row r="551">
          <cell r="D551" t="str">
            <v>Устройство металлических ограждений балконов</v>
          </cell>
        </row>
        <row r="552">
          <cell r="D552" t="str">
            <v>Устройство металлических ограждений крылец</v>
          </cell>
        </row>
        <row r="553">
          <cell r="D553" t="str">
            <v>Устройство металлических ограждений лестниц и площадок</v>
          </cell>
        </row>
        <row r="554">
          <cell r="D554" t="str">
            <v>Металлическая сетка</v>
          </cell>
        </row>
        <row r="555">
          <cell r="D555" t="str">
            <v>Устройство металлического забора из профлиста</v>
          </cell>
        </row>
        <row r="556">
          <cell r="D556" t="str">
            <v>Устройство металлического ограждения территории</v>
          </cell>
        </row>
        <row r="557">
          <cell r="D557" t="str">
            <v>Устройство мозаичных полов</v>
          </cell>
        </row>
        <row r="558">
          <cell r="D558" t="str">
            <v>Устройство молниезащиты</v>
          </cell>
        </row>
        <row r="559">
          <cell r="D559" t="str">
            <v>Устройство монолитных балок нетипового этажа</v>
          </cell>
        </row>
        <row r="560">
          <cell r="D560" t="str">
            <v>Устройство монолитных балок типового этажа</v>
          </cell>
        </row>
        <row r="561">
          <cell r="D561" t="str">
            <v>Устройство монолитных балок цокольного этажа</v>
          </cell>
        </row>
        <row r="562">
          <cell r="D562" t="str">
            <v>Устройство монолитных колонн нетипового этажа</v>
          </cell>
        </row>
        <row r="563">
          <cell r="D563" t="str">
            <v>Устройство монолитных колонн типового этажа</v>
          </cell>
        </row>
        <row r="564">
          <cell r="D564" t="str">
            <v>Устройство монолитных колонн цокольного этажа</v>
          </cell>
        </row>
        <row r="565">
          <cell r="D565" t="str">
            <v>Устройство монолитных конструкций приямков, съездов, пандусов, крылец и козырьков</v>
          </cell>
        </row>
        <row r="566">
          <cell r="D566" t="str">
            <v>Устройство монолитных лестничных маршей нетипового этажа</v>
          </cell>
        </row>
        <row r="567">
          <cell r="D567" t="str">
            <v>Устройство монолитных лестничных маршей типового этажа</v>
          </cell>
        </row>
        <row r="568">
          <cell r="D568" t="str">
            <v>Устройство монолитных лестничных маршей цокольного этажа</v>
          </cell>
        </row>
        <row r="569">
          <cell r="D569" t="str">
            <v>Устройство монолитных перекрытий нетипового этажа</v>
          </cell>
        </row>
        <row r="570">
          <cell r="D570" t="str">
            <v>Устройство монолитных перекрытий типового этажа</v>
          </cell>
        </row>
        <row r="571">
          <cell r="D571" t="str">
            <v>Устройство монолитных перекрытий цокольного этажа</v>
          </cell>
        </row>
        <row r="572">
          <cell r="D572" t="str">
            <v>Устройство монолитных стен наружных типового этажа</v>
          </cell>
        </row>
        <row r="573">
          <cell r="D573" t="str">
            <v>Устройство монолитных стен внутренних нетипового этажа</v>
          </cell>
        </row>
        <row r="574">
          <cell r="D574" t="str">
            <v>Устройство монолитных стен внутренних типового этажа</v>
          </cell>
        </row>
        <row r="575">
          <cell r="D575" t="str">
            <v>Устройство монолитных стен внутренних цокольного этажа</v>
          </cell>
        </row>
        <row r="576">
          <cell r="D576" t="str">
            <v>Устройство монолитных шахт лифтов нетипового этажа</v>
          </cell>
        </row>
        <row r="577">
          <cell r="D577" t="str">
            <v>Устройство монолитных шахт лифтов типового этажа</v>
          </cell>
        </row>
        <row r="578">
          <cell r="D578" t="str">
            <v>Устройство монолитных шахт лифтов цокольного этажа</v>
          </cell>
        </row>
        <row r="579">
          <cell r="D579" t="str">
            <v>Устройство мягкой кровли</v>
          </cell>
        </row>
        <row r="580">
          <cell r="D580" t="str">
            <v>Устройство наружного водостока из ПХВ</v>
          </cell>
        </row>
        <row r="581">
          <cell r="D581" t="str">
            <v>Устройство наружного дренажа</v>
          </cell>
        </row>
        <row r="582">
          <cell r="D582" t="str">
            <v>Устройство наружных сетей бытовой канализации</v>
          </cell>
        </row>
        <row r="583">
          <cell r="D583" t="str">
            <v>Устройство наружных сетей водопровода</v>
          </cell>
        </row>
        <row r="584">
          <cell r="D584" t="str">
            <v>Устройство наружных сетей теплотрассы</v>
          </cell>
        </row>
        <row r="585">
          <cell r="D585" t="str">
            <v>Устройство насосной станции с пожарными насосами</v>
          </cell>
        </row>
        <row r="586">
          <cell r="D586" t="str">
            <v>Устройство ограждений балконов  из кирпича</v>
          </cell>
        </row>
        <row r="587">
          <cell r="D587" t="str">
            <v>Устройство ограждений балконов из бетонных панелей</v>
          </cell>
        </row>
        <row r="588">
          <cell r="D588" t="str">
            <v>Пазогребень 80мм, пенополистирол 50мм</v>
          </cell>
        </row>
        <row r="589">
          <cell r="D589" t="str">
            <v>Устройство основания, монтаж, крепление, работы по ОТ г/п подъемника</v>
          </cell>
        </row>
        <row r="590">
          <cell r="D590" t="str">
            <v>Устройство п/пути для передвижного КБ</v>
          </cell>
        </row>
        <row r="591">
          <cell r="D591" t="str">
            <v>Газобетон 200мм</v>
          </cell>
        </row>
        <row r="592">
          <cell r="D592" t="str">
            <v>ГКЛ в два слоя на мет каркасе</v>
          </cell>
        </row>
        <row r="593">
          <cell r="D593" t="str">
            <v>ГКЛ в один слой на мет каркасе</v>
          </cell>
        </row>
        <row r="594">
          <cell r="D594" t="str">
            <v>ГКЛ с заполнением пенобетоном</v>
          </cell>
        </row>
        <row r="595">
          <cell r="D595" t="str">
            <v>Кирпич кер лиц пуст 120мм под расшивку швов, арм</v>
          </cell>
        </row>
        <row r="596">
          <cell r="D596" t="str">
            <v>Кирпич кер лиц пуст 65мм под расшивку швов, арм</v>
          </cell>
        </row>
        <row r="597">
          <cell r="D597" t="str">
            <v>Пазогребень 80мм, ГКЛ</v>
          </cell>
        </row>
        <row r="598">
          <cell r="D598" t="str">
            <v>Пазогребень 80мм гидроф</v>
          </cell>
        </row>
        <row r="599">
          <cell r="D599" t="str">
            <v>Кирпич кер полн 120мм</v>
          </cell>
        </row>
        <row r="600">
          <cell r="D600" t="str">
            <v>Кирпич кер полн 65мм</v>
          </cell>
        </row>
        <row r="601">
          <cell r="D601" t="str">
            <v>Кирпич кер пуст 120мм под штукатурку, арм, пенополистирол 50мм</v>
          </cell>
        </row>
        <row r="602">
          <cell r="D602" t="str">
            <v>Кирпич кер пуст 120мм под штукатурку, арм</v>
          </cell>
        </row>
        <row r="603">
          <cell r="D603" t="str">
            <v>Кирпич кер пуст 120мм под штукатурку, неарм</v>
          </cell>
        </row>
        <row r="604">
          <cell r="D604" t="str">
            <v>Кирпич кер пуст 65мм под штукатурку, арм</v>
          </cell>
        </row>
        <row r="605">
          <cell r="D605" t="str">
            <v>СКЦ 120мм</v>
          </cell>
        </row>
        <row r="606">
          <cell r="D606" t="str">
            <v>СКЦ 190мм</v>
          </cell>
        </row>
        <row r="607">
          <cell r="D607" t="str">
            <v>СКЦ 80мм</v>
          </cell>
        </row>
        <row r="608">
          <cell r="D608" t="str">
            <v>Стеклоблоки</v>
          </cell>
        </row>
        <row r="609">
          <cell r="D609" t="str">
            <v>Устройство песчаного основания</v>
          </cell>
        </row>
        <row r="610">
          <cell r="D610" t="str">
            <v>Устройство пешеходной галереи временных ограждений стройплощадки и защитного козырька с окраской</v>
          </cell>
        </row>
        <row r="611">
          <cell r="D611" t="str">
            <v>Бетонирование плитного фундамента под дом</v>
          </cell>
        </row>
        <row r="612">
          <cell r="D612" t="str">
            <v>Бетонирование плитного фундамента под паркинг</v>
          </cell>
        </row>
        <row r="613">
          <cell r="D613" t="str">
            <v>Бетонирование плитного фундамента под шахты лифтов</v>
          </cell>
        </row>
        <row r="614">
          <cell r="D614" t="str">
            <v>Устройство плиточных тротуаров бетонных</v>
          </cell>
        </row>
        <row r="615">
          <cell r="D615" t="str">
            <v>Устройство площадок складирования</v>
          </cell>
        </row>
        <row r="616">
          <cell r="D616" t="str">
            <v>Устройство покрытий из отсева гранитного</v>
          </cell>
        </row>
        <row r="617">
          <cell r="D617" t="str">
            <v>Устройство полимерных полов: SIKAfloor</v>
          </cell>
        </row>
        <row r="618">
          <cell r="D618" t="str">
            <v>Устройство полимерных полов: Высокопрочные</v>
          </cell>
        </row>
        <row r="619">
          <cell r="D619" t="str">
            <v>Устройство полимерных полов: Технопол-Н</v>
          </cell>
        </row>
        <row r="620">
          <cell r="D620" t="str">
            <v>Устройство полимерных полов: Тонкослойные</v>
          </cell>
        </row>
        <row r="621">
          <cell r="D621" t="str">
            <v>Устройство полов из керамической плитки</v>
          </cell>
        </row>
        <row r="622">
          <cell r="D622" t="str">
            <v>Устройство полов из керамогранита</v>
          </cell>
        </row>
        <row r="623">
          <cell r="D623" t="str">
            <v>Устройство полов из натурального камня: гранита</v>
          </cell>
        </row>
        <row r="624">
          <cell r="D624" t="str">
            <v>Устройство полов из натурального камня: мрамора</v>
          </cell>
        </row>
        <row r="625">
          <cell r="D625" t="str">
            <v>Устройство поручней деревянных</v>
          </cell>
        </row>
        <row r="626">
          <cell r="D626" t="str">
            <v>Устройство поручней из ПХВ</v>
          </cell>
        </row>
        <row r="627">
          <cell r="D627" t="str">
            <v>Устройство приточной вентиляции</v>
          </cell>
        </row>
        <row r="628">
          <cell r="D628" t="str">
            <v xml:space="preserve">Бетонирование ростверков </v>
          </cell>
        </row>
        <row r="629">
          <cell r="D629" t="str">
            <v>Устройство свайного поля вдавливанием</v>
          </cell>
        </row>
        <row r="630">
          <cell r="D630" t="str">
            <v>Устройство сетей дождевой канализации</v>
          </cell>
        </row>
        <row r="631">
          <cell r="D631" t="str">
            <v>Устройство систем видеонаблюдения</v>
          </cell>
        </row>
        <row r="632">
          <cell r="D632" t="str">
            <v>Устройство системы антиобледенения</v>
          </cell>
        </row>
        <row r="633">
          <cell r="D633" t="str">
            <v>Устройство системы бытовой канализации</v>
          </cell>
        </row>
        <row r="634">
          <cell r="D634" t="str">
            <v>Устройство системы водяного пожаротушения паркинга</v>
          </cell>
        </row>
        <row r="635">
          <cell r="D635" t="str">
            <v>Устройство системы ливневой канализации</v>
          </cell>
        </row>
        <row r="636">
          <cell r="D636" t="str">
            <v>Устройство системы ОДК</v>
          </cell>
        </row>
        <row r="637">
          <cell r="D637" t="str">
            <v>Устройство системы пожаротушения дома (АПТ)</v>
          </cell>
        </row>
        <row r="638">
          <cell r="D638" t="str">
            <v>Устройство системы порошкового пожаротушения паркинга</v>
          </cell>
        </row>
        <row r="639">
          <cell r="D639" t="str">
            <v>Устройство системы СКС</v>
          </cell>
        </row>
        <row r="640">
          <cell r="D640" t="str">
            <v>Устройство системы центрального управления и сигнализации инженерных систем</v>
          </cell>
        </row>
        <row r="641">
          <cell r="D641" t="str">
            <v>Устройство тартановых покрытий</v>
          </cell>
        </row>
        <row r="642">
          <cell r="D642" t="str">
            <v>Устройство цельностеклянного ограждения балконов</v>
          </cell>
        </row>
        <row r="643">
          <cell r="D643" t="str">
            <v xml:space="preserve">Устройство чистых покрытий полов по дизайн проекту </v>
          </cell>
        </row>
        <row r="644">
          <cell r="D644" t="str">
            <v>Устройство эксплуатируемого покрытия кровли из тротуарных плиток</v>
          </cell>
        </row>
        <row r="645">
          <cell r="D645" t="str">
            <v>Формирование концепт -дизайна</v>
          </cell>
        </row>
        <row r="646">
          <cell r="D646" t="str">
            <v>Холодная кровля из стали с полимерным покрытием</v>
          </cell>
        </row>
        <row r="647">
          <cell r="D647" t="str">
            <v>Холодная кровля с покрытием из оцинк. стали</v>
          </cell>
        </row>
        <row r="648">
          <cell r="D648" t="str">
            <v>ЦС 20мм арм.</v>
          </cell>
        </row>
        <row r="649">
          <cell r="D649" t="str">
            <v>ЦС 80мм</v>
          </cell>
        </row>
        <row r="650">
          <cell r="D650" t="str">
            <v xml:space="preserve">ЦС 30мм </v>
          </cell>
        </row>
        <row r="651">
          <cell r="D651" t="str">
            <v>ЦС 40мм арм., г/и п/э, пеноплекс 50мм</v>
          </cell>
        </row>
        <row r="652">
          <cell r="D652" t="str">
            <v>ЦС 40мм арм.</v>
          </cell>
        </row>
        <row r="653">
          <cell r="D653" t="str">
            <v>ЦС 50мм</v>
          </cell>
        </row>
        <row r="654">
          <cell r="D654" t="str">
            <v xml:space="preserve">Чистовая отделка потолков по дизайн проекту </v>
          </cell>
        </row>
        <row r="655">
          <cell r="D655" t="str">
            <v xml:space="preserve">Чистовая отделка стен по дизайн проекту </v>
          </cell>
        </row>
        <row r="656">
          <cell r="D656" t="str">
            <v>Штукатурные и малярные работы по фасаду</v>
          </cell>
        </row>
        <row r="657">
          <cell r="D657" t="str">
            <v>Экологическое сопровождение</v>
          </cell>
        </row>
        <row r="658">
          <cell r="D658" t="str">
            <v>Эксплуатационные расходы: г/п подъемника</v>
          </cell>
        </row>
        <row r="659">
          <cell r="D659" t="str">
            <v>Электромонтажные работы</v>
          </cell>
        </row>
        <row r="660">
          <cell r="D660" t="str">
            <v>Электросеть</v>
          </cell>
        </row>
        <row r="661">
          <cell r="D661" t="str">
            <v>Эскизный и рабочий проект интерьеров офиса</v>
          </cell>
        </row>
        <row r="662">
          <cell r="D662" t="str">
            <v>Газобетон 100мм, пенополистирол 100мм</v>
          </cell>
        </row>
        <row r="663">
          <cell r="D663" t="str">
            <v>Газобетон 375мм</v>
          </cell>
        </row>
        <row r="664">
          <cell r="D664" t="str">
            <v>Газобетон 100мм, пенополистирол 50мм</v>
          </cell>
        </row>
        <row r="665">
          <cell r="D665" t="str">
            <v>Кирпич сил пуст 120мм под расшивку швов</v>
          </cell>
        </row>
        <row r="666">
          <cell r="D666" t="str">
            <v>Кирпич сил пуст 250мм под расшивку швов</v>
          </cell>
        </row>
        <row r="667">
          <cell r="D667" t="str">
            <v>Кирпич кер полн 120мм под расшивку швов, арм</v>
          </cell>
        </row>
        <row r="668">
          <cell r="D668" t="str">
            <v>Утеплитель пенотерм</v>
          </cell>
        </row>
        <row r="669">
          <cell r="D669" t="str">
            <v>Утеплитель URSA</v>
          </cell>
        </row>
        <row r="670">
          <cell r="D670" t="str">
            <v>ЦСП</v>
          </cell>
        </row>
        <row r="671">
          <cell r="D671" t="str">
            <v>Прочие работы по устройству перегородок</v>
          </cell>
        </row>
        <row r="672">
          <cell r="D672" t="str">
            <v>Устройство монолитных стен наружных нетипового этажа</v>
          </cell>
        </row>
        <row r="673">
          <cell r="D673" t="str">
            <v>Устройство монолитных стен наружных цокольного этажа</v>
          </cell>
        </row>
        <row r="674">
          <cell r="D674" t="str">
            <v xml:space="preserve">Напл гидриз 1слой под 1ряд кладки  </v>
          </cell>
        </row>
        <row r="675">
          <cell r="D675" t="str">
            <v>Нар ст т 120мм: кер стр полн 120мм</v>
          </cell>
        </row>
        <row r="676">
          <cell r="D676" t="str">
            <v>Нар ст т 120мм: кер стр пуст 120мм</v>
          </cell>
        </row>
        <row r="677">
          <cell r="D677" t="str">
            <v>Нар ст т 120мм: сил стр пуст 120мм</v>
          </cell>
        </row>
        <row r="678">
          <cell r="D678" t="str">
            <v>Нар ст т 160мм: кер стр пуст 120мм, пеноплекс 40мм</v>
          </cell>
        </row>
        <row r="679">
          <cell r="D679" t="str">
            <v>Нар ст т 160мм: сил стр пуст 120мм, пеноплекс 40мм</v>
          </cell>
        </row>
        <row r="680">
          <cell r="D680" t="str">
            <v>Нар ст т 200мм: кер стр пуст 120мм, пеноплекс 80мм</v>
          </cell>
        </row>
        <row r="681">
          <cell r="D681" t="str">
            <v>Нар ст т 200мм: сил стр пуст 120мм, пеноплекс 80мм</v>
          </cell>
        </row>
        <row r="682">
          <cell r="D682" t="str">
            <v>Нар ст т 220мм: кер стр полн 120мм, г/бетон 100мм</v>
          </cell>
        </row>
        <row r="683">
          <cell r="D683" t="str">
            <v>Нар ст т 250мм: кер стр полн 120мм, з/р 10мм, сил лиц пуст 120мм</v>
          </cell>
        </row>
        <row r="684">
          <cell r="D684" t="str">
            <v>Нар ст т 250мм: кер стр полн 250мм</v>
          </cell>
        </row>
        <row r="685">
          <cell r="D685" t="str">
            <v>Нар ст т 250мм: кер стр пуст 120мм, пеноплекс 130мм</v>
          </cell>
        </row>
        <row r="686">
          <cell r="D686" t="str">
            <v>Нар ст т 250мм: кер стр пуст 250мм</v>
          </cell>
        </row>
        <row r="687">
          <cell r="D687" t="str">
            <v>Нар ст т 250мм: сил стр пуст 120мм, пеноплекс 130мм</v>
          </cell>
        </row>
        <row r="688">
          <cell r="D688" t="str">
            <v>Нар ст т 250мм: сил стр пуст 250мм</v>
          </cell>
        </row>
        <row r="689">
          <cell r="D689" t="str">
            <v>Нар ст т 260мм: кер стр пуст 120мм, пеноплекс 140мм</v>
          </cell>
        </row>
        <row r="690">
          <cell r="D690" t="str">
            <v>Нар ст т 260мм: сил стр пуст 120мм, пеноплекс 140мм</v>
          </cell>
        </row>
        <row r="691">
          <cell r="D691" t="str">
            <v>Нар ст т 270мм: кер стр полн 120мм, з/р 20мм, ROCKWOOL 130мм</v>
          </cell>
        </row>
        <row r="692">
          <cell r="D692" t="str">
            <v>Нар ст т 270мм: кер стр пуст 120мм, пеноплекс 150мм</v>
          </cell>
        </row>
        <row r="693">
          <cell r="D693" t="str">
            <v>Нар ст т 270мм: сил стр пуст 120мм, пеноплекс 150мм</v>
          </cell>
        </row>
        <row r="694">
          <cell r="D694" t="str">
            <v>Нар ст т 340мм: кер стр полн 120мм, пеноплекс 100мм, кер лиц полн 120мм</v>
          </cell>
        </row>
        <row r="695">
          <cell r="D695" t="str">
            <v>Нар ст т 380мм: кер стр полн 250мм, з/р 10мм, сил лиц пуст 120мм</v>
          </cell>
        </row>
        <row r="696">
          <cell r="D696" t="str">
            <v>Нар ст т 380мм: кер стр полн 380мм</v>
          </cell>
        </row>
        <row r="697">
          <cell r="D697" t="str">
            <v>Нар ст т 390мм: кер лиц полн 250мм, з/р 10мм, ROCKWOOL 130мм</v>
          </cell>
        </row>
        <row r="698">
          <cell r="D698" t="str">
            <v>Нар ст т 410мм: кер лиц пуст 250мм, з/р 10мм, ROCKWOOL 150мм</v>
          </cell>
        </row>
        <row r="699">
          <cell r="D699" t="str">
            <v>Нар ст т 435мм: кер лиц пуст 120мм, з/р 15мм, г/бетон 300мм</v>
          </cell>
        </row>
        <row r="700">
          <cell r="D700" t="str">
            <v>Нар ст т 435мм: сил лиц пуст 120мм, з/р 15мм, г/бетон 300мм</v>
          </cell>
        </row>
        <row r="701">
          <cell r="D701" t="str">
            <v>Нар ст т 470мм: сил лиц пуст 120мм, з/р 10мм, пеноплекс 90мм, кер стр полн 250мм</v>
          </cell>
        </row>
        <row r="702">
          <cell r="D702" t="str">
            <v>Нар ст т 510мм: кер лиц полн 120мм, з/р 15мм, г/бетон 375мм</v>
          </cell>
        </row>
        <row r="703">
          <cell r="D703" t="str">
            <v>Нар ст т 510мм: кер лиц пуст 120мм, з/р 15мм, г/бетон 375мм</v>
          </cell>
        </row>
        <row r="704">
          <cell r="D704" t="str">
            <v>Нар ст т 510мм: сил лиц пуст 120мм, з/р 15мм, г/бетон 375мм</v>
          </cell>
        </row>
        <row r="705">
          <cell r="D705" t="str">
            <v>Нар ст т 520мм: кер стр полн 380мм, з/р 10мм, ROCKWOOL 130мм</v>
          </cell>
        </row>
        <row r="706">
          <cell r="D706" t="str">
            <v>Нар ст т 65мм: кер стр 65мм</v>
          </cell>
        </row>
        <row r="707">
          <cell r="D707" t="str">
            <v>Тонкослойные цементные штукатурки, ROCKWOOL 140мм</v>
          </cell>
        </row>
        <row r="708">
          <cell r="D708" t="str">
            <v>Тонкослойные цементные штукатурки, ROCKWOOL 150мм</v>
          </cell>
        </row>
        <row r="709">
          <cell r="D709" t="str">
            <v xml:space="preserve">Утеплитель: ROCKWOOL </v>
          </cell>
        </row>
        <row r="710">
          <cell r="D710" t="str">
            <v>Утеплитель: пеноплекс</v>
          </cell>
        </row>
        <row r="711">
          <cell r="D711" t="str">
            <v>Устройство временных сетей электроснабжения</v>
          </cell>
        </row>
        <row r="712">
          <cell r="D712" t="str">
            <v>Установка квартирных счетчиков ХВС ГВС</v>
          </cell>
        </row>
        <row r="714">
          <cell r="D714" t="str">
            <v>Монтаж металлоконструкций каркаса типового этажа</v>
          </cell>
        </row>
        <row r="715">
          <cell r="D715" t="str">
            <v>Монтаж металлоконструкций каркаса нетипового этажа</v>
          </cell>
        </row>
        <row r="716">
          <cell r="D716" t="str">
            <v>Устройство наружного водостока из оцинкованной стали</v>
          </cell>
        </row>
        <row r="717">
          <cell r="D717" t="str">
            <v>Окраска металлоконструкций масляными составами</v>
          </cell>
        </row>
        <row r="718">
          <cell r="D718" t="str">
            <v>Окраска дверных блоков масляными составами</v>
          </cell>
        </row>
        <row r="719">
          <cell r="D719" t="str">
            <v>Окраска л/маршей масляными составами</v>
          </cell>
        </row>
        <row r="720">
          <cell r="D720" t="str">
            <v>Нар ст т 380мм: кер стр пуст 380мм</v>
          </cell>
        </row>
        <row r="721">
          <cell r="D721" t="str">
            <v>Нар ст т 670мм: кер лиц пуст 250мм, з/р 20мм, г/б 400мм</v>
          </cell>
        </row>
        <row r="722">
          <cell r="D722" t="str">
            <v>Нар ст т 590мм: кер лиц полн 120мм, з/р 20мм, г/б 450мм</v>
          </cell>
        </row>
        <row r="723">
          <cell r="D723" t="str">
            <v>Устройство деформационного шва цокольного этажа</v>
          </cell>
        </row>
        <row r="724">
          <cell r="D724" t="str">
            <v>Устройство деформационного шва типового этажа</v>
          </cell>
        </row>
        <row r="725">
          <cell r="D725" t="str">
            <v>Устройство деформационного шва нетипового этажа</v>
          </cell>
        </row>
        <row r="726">
          <cell r="D726" t="str">
            <v>Монтаж металлоконструкций кровли</v>
          </cell>
        </row>
        <row r="727">
          <cell r="D727" t="str">
            <v>Монтаж трубных разводок в монолитных конструкциях</v>
          </cell>
        </row>
        <row r="728">
          <cell r="D728" t="str">
            <v>Армирование стяжки</v>
          </cell>
        </row>
        <row r="729">
          <cell r="D729" t="str">
            <v>Утепление полов ПСБС</v>
          </cell>
        </row>
        <row r="730">
          <cell r="D730" t="str">
            <v>Гидроизоляция полов п/э пленкой в 2 слоя</v>
          </cell>
        </row>
        <row r="731">
          <cell r="D731" t="str">
            <v>Гидроизоляция полов из 1 слоя изопласта</v>
          </cell>
        </row>
        <row r="732">
          <cell r="D732" t="str">
            <v>Гидроизоляция полов Бикрост в 2 слоя</v>
          </cell>
        </row>
        <row r="733">
          <cell r="D733" t="str">
            <v>Прокладка полов пергамином</v>
          </cell>
        </row>
        <row r="734">
          <cell r="D734" t="str">
            <v>Прочие работы по отделке МОП</v>
          </cell>
        </row>
        <row r="735">
          <cell r="D735" t="str">
            <v>Окраска потолков известковая</v>
          </cell>
        </row>
        <row r="736">
          <cell r="D736" t="str">
            <v>Окраска стен известковая</v>
          </cell>
        </row>
        <row r="737">
          <cell r="D737" t="str">
            <v>Прочие работы по наружным сетям электроснабжения</v>
          </cell>
        </row>
        <row r="738">
          <cell r="D738" t="str">
            <v>Песчаная подготовка под ростверк</v>
          </cell>
        </row>
        <row r="739">
          <cell r="D739" t="str">
            <v>Бетонная подготовка под ростверк</v>
          </cell>
        </row>
        <row r="740">
          <cell r="D740" t="str">
            <v>Г/изоляция ростверка</v>
          </cell>
        </row>
        <row r="741">
          <cell r="D741" t="str">
            <v>Песчаная подготовка под фундаментную плиту под дом</v>
          </cell>
        </row>
        <row r="742">
          <cell r="D742" t="str">
            <v>Бетонная подготовка под фундаментную плиту под дом</v>
          </cell>
        </row>
        <row r="743">
          <cell r="D743" t="str">
            <v>Г/изоляция фундаментной плиты под дом</v>
          </cell>
        </row>
        <row r="744">
          <cell r="D744" t="str">
            <v>Устройство деформационного шва ростверка</v>
          </cell>
        </row>
        <row r="745">
          <cell r="D745" t="str">
            <v>Устройство деформационного шва фундаментной плиты под дом</v>
          </cell>
        </row>
        <row r="746">
          <cell r="D746" t="str">
            <v xml:space="preserve">Г/изоляция цокольного этажа </v>
          </cell>
        </row>
        <row r="747">
          <cell r="D747" t="str">
            <v>Выравнивание откосов</v>
          </cell>
        </row>
        <row r="748">
          <cell r="D748" t="str">
            <v>Штукатурка стен по кирпичу</v>
          </cell>
        </row>
        <row r="749">
          <cell r="D749" t="str">
            <v>Штукатурка откосов</v>
          </cell>
        </row>
        <row r="750">
          <cell r="D750" t="str">
            <v>Штукатурка газобетонных стен</v>
          </cell>
        </row>
        <row r="751">
          <cell r="D751" t="str">
            <v>Окраска ствола мусоропровода</v>
          </cell>
        </row>
        <row r="752">
          <cell r="D752" t="str">
            <v>Окраска м/конструкций мусоропровода</v>
          </cell>
        </row>
        <row r="754">
          <cell r="D754" t="str">
            <v>Штукатурка потолков бетонных</v>
          </cell>
        </row>
        <row r="755">
          <cell r="D755" t="str">
            <v>Окраска откосов известковая</v>
          </cell>
        </row>
        <row r="756">
          <cell r="D756" t="str">
            <v>Нар ст т 640мм: кер лиц пуст 250мм, з/р 15мм, г/бетон 375мм</v>
          </cell>
        </row>
        <row r="757">
          <cell r="D757" t="str">
            <v>Нар ст т 565мм: кер лиц пуст 250мм, з/р 15мм, г/бетон 300мм</v>
          </cell>
        </row>
        <row r="758">
          <cell r="D758" t="str">
            <v>Нар ст т 465мм: кер лиц пуст 250мм, з/р 15мм, г/бетон 200мм</v>
          </cell>
        </row>
        <row r="759">
          <cell r="D759" t="str">
            <v>Нар ст т 635мм: кер лиц пуст 120мм, з/р 15мм, г/бетон 500мм</v>
          </cell>
        </row>
        <row r="760">
          <cell r="D760" t="str">
            <v>Нар ст т 565мм: кер лиц пуст 120мм, з/р 15мм, г/бетон 430мм</v>
          </cell>
        </row>
        <row r="761">
          <cell r="D761" t="str">
            <v>Прочие работы по наружным ограждающим конструкциям</v>
          </cell>
        </row>
        <row r="762">
          <cell r="D762" t="str">
            <v>Монолитные покрытия вентиляционных шахт</v>
          </cell>
        </row>
        <row r="763">
          <cell r="D763" t="str">
            <v>Устройство свайного поля под КБ</v>
          </cell>
        </row>
        <row r="764">
          <cell r="D764" t="str">
            <v>Устройство монолитной плиты под КБ</v>
          </cell>
        </row>
        <row r="765">
          <cell r="D765" t="str">
            <v>Разработка грунта под КБ</v>
          </cell>
        </row>
        <row r="766">
          <cell r="D766" t="str">
            <v>Срубка свай под КБ</v>
          </cell>
        </row>
        <row r="767">
          <cell r="D767" t="str">
            <v>Устройство песчано щебеночного  основания под плиту КБ</v>
          </cell>
        </row>
        <row r="768">
          <cell r="D768" t="str">
            <v>Устройство бетонной подготовки под ростверк КБ</v>
          </cell>
        </row>
        <row r="769">
          <cell r="D769" t="str">
            <v>Демонтаж временных дорожных плит</v>
          </cell>
        </row>
        <row r="770">
          <cell r="D770" t="str">
            <v>Установка бортовых камней бетонных</v>
          </cell>
        </row>
        <row r="771">
          <cell r="D771" t="str">
            <v>Устройство металлического забора из сетки</v>
          </cell>
        </row>
        <row r="772">
          <cell r="D772" t="str">
            <v>Песчаная подготовка под фундаментную плиту (паркинг)</v>
          </cell>
        </row>
        <row r="773">
          <cell r="D773" t="str">
            <v>Бетонная подготовка под фундаментную плиту (паркинг)</v>
          </cell>
        </row>
        <row r="774">
          <cell r="D774" t="str">
            <v>Г/изоляция фундаментной плиты (паркинг)</v>
          </cell>
        </row>
        <row r="775">
          <cell r="D775" t="str">
            <v>Устройство деформационного шва фундаментной плиты (паркинг)</v>
          </cell>
        </row>
        <row r="776">
          <cell r="D776" t="str">
            <v>Песчаная подготовка под фундаментную плиту (шахты лифтов)</v>
          </cell>
        </row>
        <row r="777">
          <cell r="D777" t="str">
            <v>Бетонная подготовка под фундаментную плиту (шахты лифтов)</v>
          </cell>
        </row>
        <row r="778">
          <cell r="D778" t="str">
            <v>Г/изоляция фундаментной плиты набухающей лентой (шахты лифтов)</v>
          </cell>
        </row>
        <row r="779">
          <cell r="D779" t="str">
            <v>Г/изоляция крылец, приямков и пандусов набухающей лентой</v>
          </cell>
        </row>
        <row r="780">
          <cell r="D780" t="str">
            <v>Прочие по устройству свайного основания</v>
          </cell>
        </row>
        <row r="781">
          <cell r="D781" t="str">
            <v>Строительство ТП (КТПН, БКТП) на 2500кВА (2х1250)</v>
          </cell>
        </row>
        <row r="782">
          <cell r="D782" t="str">
            <v>Монтаж оборудования ТП (КТПН, БКТП) на 2500кВА (2х1250)</v>
          </cell>
        </row>
        <row r="783">
          <cell r="D783" t="str">
            <v>ПНР ТП (КТПН, БКТП) на 2500кВА (2х1250)</v>
          </cell>
        </row>
        <row r="784">
          <cell r="D784" t="str">
            <v>ПНР ТП (КТПН, БКТП) на 1260кВА (2х630)</v>
          </cell>
        </row>
        <row r="785">
          <cell r="D785" t="str">
            <v>ПНР ТП (КТПН, БКТП) на 630кВА</v>
          </cell>
        </row>
        <row r="786">
          <cell r="D786" t="str">
            <v>Строительство ТП (КТПН, БКТП) на 2000кВА (2х1000)</v>
          </cell>
        </row>
        <row r="787">
          <cell r="D787" t="str">
            <v>Монтаж оборудования ТП (КТПН, БКТП) на 2000кВА (2х1000)</v>
          </cell>
        </row>
        <row r="788">
          <cell r="D788" t="str">
            <v>ПНР ТП (КТПН, БКТП) на 2000кВА (2х1000)</v>
          </cell>
        </row>
        <row r="789">
          <cell r="D789" t="str">
            <v>Прочие работы по установке дверных блоков</v>
          </cell>
        </row>
        <row r="790">
          <cell r="D790" t="str">
            <v xml:space="preserve">Установка входных в секцию дверных блоков стальных </v>
          </cell>
        </row>
        <row r="791">
          <cell r="D791" t="str">
            <v>Монтаж металлоконструкций архитектурных элементов фасада индивидуального изготовления</v>
          </cell>
        </row>
        <row r="792">
          <cell r="D792" t="str">
            <v>Прочие СМР по сдаче объекта</v>
          </cell>
        </row>
        <row r="793">
          <cell r="D793" t="str">
            <v>Устройство контейнерной площадки</v>
          </cell>
        </row>
        <row r="794">
          <cell r="D794" t="str">
            <v>Устройство цветников</v>
          </cell>
        </row>
        <row r="795">
          <cell r="D795" t="str">
            <v>Устройство спортивного набивного покрытия</v>
          </cell>
        </row>
        <row r="796">
          <cell r="D796" t="str">
            <v>Нар ст т 320мм: кер лиц полн 120мм, г/бетон 200мм</v>
          </cell>
        </row>
        <row r="797">
          <cell r="D797" t="str">
            <v>Нар ст т 420мм: кер лиц полн 120мм, г/бетон 300мм</v>
          </cell>
        </row>
        <row r="798">
          <cell r="D798" t="str">
            <v>Нар ст т 380мм: кер стр полн 120мм, пеноплекс 140мм, кер лиц пуст 120мм</v>
          </cell>
        </row>
        <row r="799">
          <cell r="D799" t="str">
            <v>Нар ст т 120мм: кер лиц полн 120мм</v>
          </cell>
        </row>
        <row r="800">
          <cell r="D800" t="str">
            <v>Нар ст т 250мм: кер лиц полн 250мм</v>
          </cell>
        </row>
        <row r="801">
          <cell r="D801" t="str">
            <v>Нар ст т 120мм: кер лиц пуст 120мм</v>
          </cell>
        </row>
        <row r="802">
          <cell r="D802" t="str">
            <v>Нар ст т 250мм: кер лиц пуст 250мм</v>
          </cell>
        </row>
        <row r="803">
          <cell r="D803" t="str">
            <v>Устройство системы снегозащиты</v>
          </cell>
        </row>
        <row r="804">
          <cell r="D804" t="str">
            <v>Установка противопожарных комплектов квартирных</v>
          </cell>
        </row>
        <row r="805">
          <cell r="D805" t="str">
            <v>Прочие работы по устройству наружных тепловых сетей</v>
          </cell>
        </row>
        <row r="806">
          <cell r="D806" t="str">
            <v>Прочие работы по устройству наружных сетей водоснабжения</v>
          </cell>
        </row>
        <row r="807">
          <cell r="D807" t="str">
            <v>Прочие работы по устройству наружных сетей бытовой канализации</v>
          </cell>
        </row>
        <row r="808">
          <cell r="D808" t="str">
            <v>Прочие работы по устройству наружных сетей ливневой канализации</v>
          </cell>
        </row>
        <row r="809">
          <cell r="D809" t="str">
            <v>ЦС 50мм, арм</v>
          </cell>
        </row>
        <row r="810">
          <cell r="D810" t="str">
            <v>ЦС 30мм арм.</v>
          </cell>
        </row>
        <row r="811">
          <cell r="D811" t="str">
            <v>Прочие работы по устройству стяжек</v>
          </cell>
        </row>
        <row r="812">
          <cell r="D812" t="str">
            <v>Прочие работы по устройству чистых полов</v>
          </cell>
        </row>
        <row r="813">
          <cell r="D813" t="str">
            <v>Прочие работы по установке МАФ</v>
          </cell>
        </row>
        <row r="814">
          <cell r="D814" t="str">
            <v>Прочие работы по подготовке стройплощадки</v>
          </cell>
        </row>
        <row r="815">
          <cell r="D815" t="str">
            <v>Устройство временных сетей теплоснабжения</v>
          </cell>
        </row>
        <row r="816">
          <cell r="D816" t="str">
            <v>Возврат дорожных плит</v>
          </cell>
        </row>
        <row r="817">
          <cell r="D817" t="str">
            <v>Возврат ограждений железобетонных</v>
          </cell>
        </row>
        <row r="818">
          <cell r="D818" t="str">
            <v>Прочие работы по устройству каркаса цокольного этажа</v>
          </cell>
        </row>
        <row r="819">
          <cell r="D819" t="str">
            <v>Прочие работы по устройству каркаса</v>
          </cell>
        </row>
        <row r="820">
          <cell r="D820" t="str">
            <v>ЦС 40мм</v>
          </cell>
        </row>
        <row r="821">
          <cell r="D821" t="str">
            <v>ЦС 60мм</v>
          </cell>
        </row>
        <row r="822">
          <cell r="D822" t="str">
            <v>ЦС 100мм</v>
          </cell>
        </row>
        <row r="823">
          <cell r="D823" t="str">
            <v>Гидроизоляция полов обмазочная</v>
          </cell>
        </row>
        <row r="824">
          <cell r="D824" t="str">
            <v>Устройство фундаментов под МАФ</v>
          </cell>
        </row>
        <row r="825">
          <cell r="D825" t="str">
            <v>Монтаж МАФ</v>
          </cell>
        </row>
        <row r="826">
          <cell r="D826" t="str">
            <v xml:space="preserve">Установка квартирных дверных блоков стальных </v>
          </cell>
        </row>
        <row r="827">
          <cell r="D827" t="str">
            <v xml:space="preserve">Установка квартирных дверных блоков деревянных </v>
          </cell>
        </row>
        <row r="828">
          <cell r="D828" t="str">
            <v>Установка вставок</v>
          </cell>
        </row>
        <row r="829">
          <cell r="D829" t="str">
            <v>Прочие работы по отделке встроенных помещений</v>
          </cell>
        </row>
        <row r="830">
          <cell r="D830" t="str">
            <v>Прочие работы по отделке технических помещений</v>
          </cell>
        </row>
        <row r="831">
          <cell r="D831" t="str">
            <v>Прочие работы по отделке жилых помещений</v>
          </cell>
        </row>
        <row r="832">
          <cell r="D832" t="str">
            <v>Прочие работы по кровле</v>
          </cell>
        </row>
        <row r="833">
          <cell r="D833" t="str">
            <v>Монтаж плит покрытия вентшахт, вентканалов</v>
          </cell>
        </row>
        <row r="834">
          <cell r="D834" t="str">
            <v>Демонтаж ворот с калиткой</v>
          </cell>
        </row>
        <row r="835">
          <cell r="D835" t="str">
            <v>Демонтаж сетей временного электроснабжения</v>
          </cell>
        </row>
        <row r="836">
          <cell r="D836" t="str">
            <v>Прочие работы по устройству дорог и покрытий</v>
          </cell>
        </row>
        <row r="837">
          <cell r="D837" t="str">
            <v>Прочие работы по отделке паркинга</v>
          </cell>
        </row>
        <row r="838">
          <cell r="D838" t="str">
            <v>Проект выноса сетей теплоснабжения</v>
          </cell>
        </row>
        <row r="839">
          <cell r="D839" t="str">
            <v>Муниципальная отделка квартир по расселению</v>
          </cell>
        </row>
        <row r="840">
          <cell r="D840" t="str">
            <v>Мобилизация техники</v>
          </cell>
        </row>
        <row r="841">
          <cell r="D841" t="str">
            <v>Монтаж отливов окон</v>
          </cell>
        </row>
        <row r="842">
          <cell r="D842" t="str">
            <v>Прочие работы по монтажу окон</v>
          </cell>
        </row>
        <row r="843">
          <cell r="D843" t="str">
            <v>Устройство тепловой камеры</v>
          </cell>
        </row>
        <row r="844">
          <cell r="D844" t="str">
            <v>Демонтаж металлического ограждения</v>
          </cell>
        </row>
        <row r="845">
          <cell r="D845" t="str">
            <v>Прочие работы по устройству шпунтового ограждения</v>
          </cell>
        </row>
        <row r="846">
          <cell r="D846" t="str">
            <v>Утеплитель: пенополистирол</v>
          </cell>
        </row>
        <row r="847">
          <cell r="D847" t="str">
            <v>Демонтаж ТП</v>
          </cell>
        </row>
        <row r="848">
          <cell r="D848" t="str">
            <v>Монтаж подоконной доски из натурального мрамора</v>
          </cell>
        </row>
        <row r="849">
          <cell r="D849" t="str">
            <v>Установка горок</v>
          </cell>
        </row>
        <row r="850">
          <cell r="D850" t="str">
            <v>Проект усиления фундаментов</v>
          </cell>
        </row>
        <row r="851">
          <cell r="D851" t="str">
            <v>Установка входных в секцию дверных блоков из AL-профилей</v>
          </cell>
        </row>
        <row r="852">
          <cell r="D852" t="str">
            <v>Установка внутренних дверных блоков из AL-профилей</v>
          </cell>
        </row>
        <row r="853">
          <cell r="D853" t="str">
            <v>Установка внутренних дверных блоков из ПВХ-профилей</v>
          </cell>
        </row>
        <row r="854">
          <cell r="D854" t="str">
            <v>Установка внутриквартирных дверных блоков деревянных</v>
          </cell>
        </row>
        <row r="855">
          <cell r="D855" t="str">
            <v>Установка металлических решеток на окна, приямки</v>
          </cell>
        </row>
        <row r="856">
          <cell r="D856" t="str">
            <v>Окраска стен эмалью</v>
          </cell>
        </row>
        <row r="857">
          <cell r="D857" t="str">
            <v>Система дымоудаления</v>
          </cell>
        </row>
        <row r="858">
          <cell r="D858" t="str">
            <v>Прочие работы по благоустройству</v>
          </cell>
        </row>
        <row r="859">
          <cell r="D859" t="str">
            <v>Установка бортовых камней гранитных</v>
          </cell>
        </row>
        <row r="860">
          <cell r="D860" t="str">
            <v>Испытание пожарных лестниц</v>
          </cell>
        </row>
        <row r="861">
          <cell r="D861" t="str">
            <v>Пробивка борозд в ж/б стенах для прокладки электрокабеля</v>
          </cell>
        </row>
        <row r="862">
          <cell r="D862" t="str">
            <v>Пробивка борозд в г/б и п/г стенах для прокладки электрокабеля</v>
          </cell>
        </row>
        <row r="863">
          <cell r="D863" t="str">
            <v>Пробивка борозд в кирпичных стенах для прокладки электрокабеля</v>
          </cell>
        </row>
        <row r="864">
          <cell r="D864" t="str">
            <v>Заделка борозд</v>
          </cell>
        </row>
        <row r="865">
          <cell r="D865" t="str">
            <v>Временное электроснабжение от ДЭС 150 кВА</v>
          </cell>
        </row>
        <row r="866">
          <cell r="D866" t="str">
            <v>Временное электроснабжение от ДЭС 360 кВА</v>
          </cell>
        </row>
        <row r="867">
          <cell r="D867" t="str">
            <v>Временное электроснабжение от ДЭС 20 кВА</v>
          </cell>
        </row>
        <row r="868">
          <cell r="D868" t="str">
            <v>Песчаная подготовка под ленточный фундамент</v>
          </cell>
        </row>
        <row r="869">
          <cell r="D869" t="str">
            <v>Бетонная подготовка под ленточный фундамент</v>
          </cell>
        </row>
        <row r="870">
          <cell r="D870" t="str">
            <v>Г/изоляция ленточного фундамента</v>
          </cell>
        </row>
        <row r="871">
          <cell r="D871" t="str">
            <v>Нар ст т 535мм: кер стр пуст 120мм, з/р 15мм, г/бетон 400мм</v>
          </cell>
        </row>
        <row r="872">
          <cell r="D872" t="str">
            <v>Тонкослойные цементные штукатурки</v>
          </cell>
        </row>
        <row r="873">
          <cell r="D873" t="str">
            <v>Прочие работы по установке декоративных элементов</v>
          </cell>
        </row>
        <row r="874">
          <cell r="D874" t="str">
            <v>Устройство покрытия из ламината</v>
          </cell>
        </row>
        <row r="875">
          <cell r="D875" t="str">
            <v>Устройство плинтусов из керамической плитки на клее</v>
          </cell>
        </row>
        <row r="876">
          <cell r="D876" t="str">
            <v>Устройство плинтусов ПВХ с кабель-каналом</v>
          </cell>
        </row>
        <row r="877">
          <cell r="D877" t="str">
            <v>Устройство плинтусов из керамического гранита на клее</v>
          </cell>
        </row>
        <row r="878">
          <cell r="D878" t="str">
            <v>Устройство плинтусов деревянных</v>
          </cell>
        </row>
        <row r="879">
          <cell r="D879" t="str">
            <v>Бетон (В7,5) 100мм, известковый щебень 240мм, ЦС (М150), арм.</v>
          </cell>
        </row>
        <row r="880">
          <cell r="D880" t="str">
            <v>П/э, ПСБ 20мм, бетон (В-15) 65мм, ЦС 30мм повыш.жесткости, Ветонит3000 5мм</v>
          </cell>
        </row>
        <row r="881">
          <cell r="D881" t="str">
            <v>ДВП2слоя 25мм, изолон НПЭ 6мм, стяжка легкобетонная 85мм, Ветонит3000 5мм</v>
          </cell>
        </row>
        <row r="882">
          <cell r="D882" t="str">
            <v>ДВП2слоя 25мм, изолон НПЭ 6мм, стяжка легкобетонная 65мм, Ветонит3000 5мм</v>
          </cell>
        </row>
        <row r="883">
          <cell r="D883" t="str">
            <v>ДВП2слоя 25мм, изолон НПЭ 6мм, пергамин1слой на мастике, ЦС 70мм, унифлекс ХПП-3 2слоя</v>
          </cell>
        </row>
        <row r="884">
          <cell r="D884" t="str">
            <v>ДВП2слоя 25мм, изолон НПЭ 6мм, пергамин1слой на мастике, ЦС 50мм, унифлекс ХПП-3 2слоя</v>
          </cell>
        </row>
        <row r="885">
          <cell r="D885" t="str">
            <v>Бетон (В7,5) 25мм, унифлекс ХПП-3 3слоя, ЦС 60мм</v>
          </cell>
        </row>
        <row r="886">
          <cell r="D886" t="str">
            <v>Бетон (В7,5) 50мм, ЦС с упл.добавками (жидкое стекло) 50мм</v>
          </cell>
        </row>
        <row r="887">
          <cell r="D887" t="str">
            <v>Бетон (В7,5) 100мм</v>
          </cell>
        </row>
        <row r="888">
          <cell r="D888" t="str">
            <v>ДВП2слоя 25мм, изолон НПЭ 6мм, стяжка легкобетонная 60мм,  Ветонит3000-5мм</v>
          </cell>
        </row>
        <row r="889">
          <cell r="D889" t="str">
            <v>Резка проемов в стенах и перекрытиях</v>
          </cell>
        </row>
        <row r="890">
          <cell r="D890" t="str">
            <v>Устройство контура заземления</v>
          </cell>
        </row>
        <row r="891">
          <cell r="D891" t="str">
            <v>Утеплитель: пеноизол</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ow r="1">
          <cell r="D1" t="str">
            <v>КОДИФИКАТОР 4ур</v>
          </cell>
        </row>
      </sheetData>
      <sheetData sheetId="18"/>
      <sheetData sheetId="19">
        <row r="1">
          <cell r="D1" t="str">
            <v>КОДИФИКАТОР 4ур</v>
          </cell>
        </row>
      </sheetData>
      <sheetData sheetId="20"/>
      <sheetData sheetId="21">
        <row r="1">
          <cell r="D1" t="str">
            <v>КОДИФИКАТОР 4ур</v>
          </cell>
        </row>
      </sheetData>
      <sheetData sheetId="22"/>
      <sheetData sheetId="23"/>
      <sheetData sheetId="24"/>
      <sheetData sheetId="25"/>
      <sheetData sheetId="26"/>
      <sheetData sheetId="27"/>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ow r="1">
          <cell r="D1" t="str">
            <v>КОДИФИКАТОР 4ур</v>
          </cell>
        </row>
      </sheetData>
      <sheetData sheetId="39">
        <row r="1">
          <cell r="D1" t="str">
            <v>КОДИФИКАТОР 4ур</v>
          </cell>
        </row>
      </sheetData>
      <sheetData sheetId="40">
        <row r="1">
          <cell r="D1" t="str">
            <v>КОДИФИКАТОР 4ур</v>
          </cell>
        </row>
      </sheetData>
      <sheetData sheetId="41">
        <row r="1">
          <cell r="D1" t="str">
            <v>КОДИФИКАТОР 4ур</v>
          </cell>
        </row>
      </sheetData>
      <sheetData sheetId="42">
        <row r="1">
          <cell r="D1" t="str">
            <v>КОДИФИКАТОР 4ур</v>
          </cell>
        </row>
      </sheetData>
      <sheetData sheetId="43">
        <row r="1">
          <cell r="D1" t="str">
            <v>КОДИФИКАТОР 4ур</v>
          </cell>
        </row>
      </sheetData>
      <sheetData sheetId="44">
        <row r="1">
          <cell r="D1" t="str">
            <v>КОДИФИКАТОР 4ур</v>
          </cell>
        </row>
      </sheetData>
      <sheetData sheetId="45">
        <row r="1">
          <cell r="D1" t="str">
            <v>КОДИФИКАТОР 4ур</v>
          </cell>
        </row>
      </sheetData>
      <sheetData sheetId="46">
        <row r="1">
          <cell r="D1" t="str">
            <v>КОДИФИКАТОР 4ур</v>
          </cell>
        </row>
      </sheetData>
      <sheetData sheetId="47">
        <row r="1">
          <cell r="D1" t="str">
            <v>КОДИФИКАТОР 4ур</v>
          </cell>
        </row>
      </sheetData>
      <sheetData sheetId="48">
        <row r="1">
          <cell r="D1" t="str">
            <v>КОДИФИКАТОР 4ур</v>
          </cell>
        </row>
      </sheetData>
      <sheetData sheetId="49">
        <row r="1">
          <cell r="D1" t="str">
            <v>КОДИФИКАТОР 4ур</v>
          </cell>
        </row>
      </sheetData>
      <sheetData sheetId="50">
        <row r="1">
          <cell r="D1" t="str">
            <v>КОДИФИКАТОР 4ур</v>
          </cell>
        </row>
      </sheetData>
      <sheetData sheetId="51">
        <row r="1">
          <cell r="D1" t="str">
            <v>КОДИФИКАТОР 4ур</v>
          </cell>
        </row>
      </sheetData>
      <sheetData sheetId="52">
        <row r="1">
          <cell r="D1" t="str">
            <v>КОДИФИКАТОР 4ур</v>
          </cell>
        </row>
      </sheetData>
      <sheetData sheetId="53"/>
      <sheetData sheetId="54">
        <row r="1">
          <cell r="D1" t="str">
            <v>КОДИФИКАТОР 4ур</v>
          </cell>
        </row>
      </sheetData>
      <sheetData sheetId="55"/>
      <sheetData sheetId="56">
        <row r="1">
          <cell r="D1" t="str">
            <v>КОДИФИКАТОР 4ур</v>
          </cell>
        </row>
      </sheetData>
      <sheetData sheetId="57"/>
      <sheetData sheetId="58"/>
      <sheetData sheetId="59" refreshError="1"/>
      <sheetData sheetId="60" refreshError="1"/>
      <sheetData sheetId="61" refreshError="1"/>
      <sheetData sheetId="62" refreshError="1"/>
      <sheetData sheetId="63" refreshError="1"/>
      <sheetData sheetId="64" refreshError="1"/>
      <sheetData sheetId="65"/>
      <sheetData sheetId="66"/>
      <sheetData sheetId="67" refreshError="1"/>
      <sheetData sheetId="68" refreshError="1"/>
      <sheetData sheetId="6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Р"/>
      <sheetName val="ЦП"/>
      <sheetName val="график"/>
      <sheetName val="Лист2"/>
      <sheetName val="Оглавление"/>
      <sheetName val="Данные по очереди"/>
      <sheetName val="Данные по проекту"/>
      <sheetName val="Лист1"/>
      <sheetName val="Свод форма"/>
      <sheetName val="Бюджет с_ГУ"/>
      <sheetName val="Бюджет б_ГУ"/>
      <sheetName val="1А"/>
      <sheetName val="врем эл ДС4"/>
      <sheetName val="ПОС"/>
      <sheetName val="ПОС ДС4"/>
      <sheetName val="ДС 5"/>
      <sheetName val="ПОС ДС 3- ПК-9"/>
      <sheetName val="ПОС ДС1"/>
      <sheetName val="ПОС ДС2"/>
      <sheetName val="пр сваи ДС1"/>
      <sheetName val="1В"/>
      <sheetName val="1E"/>
      <sheetName val="1С"/>
      <sheetName val="фунд кр ДС6"/>
      <sheetName val="1D"/>
      <sheetName val="шпунт"/>
      <sheetName val="2A1"/>
      <sheetName val="котлован"/>
      <sheetName val="ДС1 котл"/>
      <sheetName val="ДС2 котл"/>
      <sheetName val="ДС3 котл"/>
      <sheetName val="ДС4 котл"/>
      <sheetName val="2A"/>
      <sheetName val="лечение"/>
      <sheetName val="сваи"/>
      <sheetName val="пр сваи"/>
      <sheetName val="добивка"/>
      <sheetName val="ДС12"/>
      <sheetName val="2B"/>
      <sheetName val="КП гидроизоляция ДС7"/>
      <sheetName val="песок ДС8"/>
      <sheetName val="Дом 9.1 1"/>
      <sheetName val="ДС10"/>
      <sheetName val="2C"/>
      <sheetName val="ДС 9"/>
      <sheetName val="2D"/>
      <sheetName val="Г_И"/>
      <sheetName val="ДС13"/>
      <sheetName val="9ПК и автостоянка "/>
      <sheetName val="Дом 9.1"/>
      <sheetName val="Дом 9.2"/>
      <sheetName val="Дом 9.3"/>
      <sheetName val="Дом 9.4"/>
      <sheetName val="Дом 9.5"/>
      <sheetName val="Автостоянка"/>
      <sheetName val="3A"/>
      <sheetName val="мусоропровод 2 оч"/>
      <sheetName val="3B"/>
      <sheetName val="металл объем"/>
      <sheetName val="4"/>
      <sheetName val="перемычки "/>
      <sheetName val="перемычким брус"/>
      <sheetName val="5A"/>
      <sheetName val="5B"/>
      <sheetName val="Caparol-к3"/>
      <sheetName val="нижн.пов.лоджий"/>
      <sheetName val="кирпич и тонк шт"/>
      <sheetName val="S фасадов+керамогр+карниз"/>
      <sheetName val="Штукатурка Кирпич"/>
      <sheetName val="Кирпич пуст120"/>
      <sheetName val="прайс вебер"/>
      <sheetName val="фасад смета"/>
      <sheetName val="фасад пск"/>
      <sheetName val="Расчет Weber Vetonit"/>
      <sheetName val="6"/>
      <sheetName val="расценки (2)"/>
      <sheetName val="перегор лоджий объем"/>
      <sheetName val="витражные окна квартир"/>
      <sheetName val="витражи АВАНГАРД"/>
      <sheetName val="витражн витрины и двери 1эт"/>
      <sheetName val="витражи  (2)"/>
      <sheetName val="АВАНГАРДпересчет"/>
      <sheetName val="витражи "/>
      <sheetName val="выходы паркинга"/>
      <sheetName val="выходы"/>
      <sheetName val="7"/>
      <sheetName val="окна объемы"/>
      <sheetName val="8"/>
      <sheetName val="двери прайс"/>
      <sheetName val="коллкторн"/>
      <sheetName val="двери (2)"/>
      <sheetName val="ворота"/>
      <sheetName val="9"/>
      <sheetName val="объем кровли над встройкой 9-4"/>
      <sheetName val="кровля виту"/>
      <sheetName val="кровля"/>
      <sheetName val="кровля паркинга"/>
      <sheetName val="10"/>
      <sheetName val="маш-бмаш"/>
      <sheetName val="объем"/>
      <sheetName val="РС-лифт с п"/>
      <sheetName val="РС-лифт бмп"/>
      <sheetName val="лифтком смп"/>
      <sheetName val="лифтком бмп"/>
      <sheetName val="лмс бмп"/>
      <sheetName val="лмс смп"/>
      <sheetName val="11"/>
      <sheetName val="ИТП"/>
      <sheetName val="материалы"/>
      <sheetName val="сантех"/>
      <sheetName val="кладовки"/>
      <sheetName val="стат"/>
      <sheetName val="стат 7"/>
      <sheetName val="Кудрово"/>
      <sheetName val="12"/>
      <sheetName val="ТВ"/>
      <sheetName val="радио"/>
      <sheetName val="Автостоянка1"/>
      <sheetName val="стат СС 7-8"/>
      <sheetName val="13"/>
      <sheetName val="тр разв 9-1"/>
      <sheetName val="Ростэнерго 8"/>
      <sheetName val="корп 3"/>
      <sheetName val="ясень-электро"/>
      <sheetName val="эо 9-1"/>
      <sheetName val="эо 9-2"/>
      <sheetName val="эо 9-3"/>
      <sheetName val="эо 9-4"/>
      <sheetName val="эо 9-5"/>
      <sheetName val="14"/>
      <sheetName val="тендер8п"/>
      <sheetName val="роспись"/>
      <sheetName val="тепло"/>
      <sheetName val="прогрев шт"/>
      <sheetName val="паркинг"/>
      <sheetName val="9-1-1"/>
      <sheetName val="9-1-2"/>
      <sheetName val="9-1-3"/>
      <sheetName val="9-4"/>
      <sheetName val="9-5"/>
      <sheetName val="9-3"/>
      <sheetName val="9-2"/>
      <sheetName val="РС 9-1 и 9-5"/>
      <sheetName val="РС Паркинг"/>
      <sheetName val="расценки"/>
      <sheetName val="анализ"/>
      <sheetName val="прогрев"/>
      <sheetName val="15"/>
      <sheetName val="покрытия 2 Лидер"/>
      <sheetName val="объем покр 1"/>
      <sheetName val="МАФ"/>
      <sheetName val="Объемы"/>
      <sheetName val="посадки"/>
      <sheetName val="ограждения"/>
      <sheetName val="покрытия расчет"/>
      <sheetName val="покрытия ЭнСиСи"/>
      <sheetName val="покрытия 1"/>
      <sheetName val="посадки с красными"/>
      <sheetName val="покрытия 1 с красными"/>
      <sheetName val="фонтан"/>
      <sheetName val="16"/>
      <sheetName val="Лидер 4 пуск"/>
      <sheetName val="17A"/>
      <sheetName val="Дренаж (КП-лидер+кспн)"/>
      <sheetName val="дренаж ДС 11"/>
      <sheetName val="НО"/>
      <sheetName val="НВК"/>
      <sheetName val="17B"/>
      <sheetName val="17С"/>
      <sheetName val="свод"/>
      <sheetName val="мат"/>
      <sheetName val="МЕХ"/>
      <sheetName val="Спр нач"/>
    </sheetNames>
    <sheetDataSet>
      <sheetData sheetId="0"/>
      <sheetData sheetId="1"/>
      <sheetData sheetId="2"/>
      <sheetData sheetId="3"/>
      <sheetData sheetId="4"/>
      <sheetData sheetId="5"/>
      <sheetData sheetId="6">
        <row r="21">
          <cell r="C21">
            <v>35475</v>
          </cell>
        </row>
        <row r="47">
          <cell r="C47">
            <v>1.05</v>
          </cell>
        </row>
      </sheetData>
      <sheetData sheetId="7"/>
      <sheetData sheetId="8">
        <row r="19">
          <cell r="E19">
            <v>23.509404725443819</v>
          </cell>
        </row>
      </sheetData>
      <sheetData sheetId="9">
        <row r="169">
          <cell r="AP169">
            <v>4306993.1756800003</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row r="2">
          <cell r="B2">
            <v>3</v>
          </cell>
        </row>
      </sheetData>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row r="4">
          <cell r="H4">
            <v>1.03</v>
          </cell>
        </row>
      </sheetData>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вод форма"/>
      <sheetName val="Данные по очереди"/>
      <sheetName val="Данные по проекту"/>
      <sheetName val="график"/>
      <sheetName val="ЦП"/>
      <sheetName val="Бюджет с_ГУ"/>
      <sheetName val="Бюджет б_ГУ"/>
      <sheetName val="1А"/>
      <sheetName val="дог ПОС"/>
      <sheetName val="ДС 1 ПОС 13 Пуск "/>
      <sheetName val="ДС 2 ПОС 13 Пуск "/>
      <sheetName val="вр эл"/>
      <sheetName val="смета эс"/>
      <sheetName val="1В"/>
      <sheetName val="ДЭС 260"/>
      <sheetName val="ДЭС 500кВт"/>
      <sheetName val="1С"/>
      <sheetName val="Фунд.БК  "/>
      <sheetName val="БК"/>
      <sheetName val="1D"/>
      <sheetName val="1E"/>
      <sheetName val="дог котлован"/>
      <sheetName val="дс котлован"/>
      <sheetName val="2A"/>
      <sheetName val="дог пр сваи"/>
      <sheetName val="ПКТИ испыт"/>
      <sheetName val="нулевик"/>
      <sheetName val="ПСТ"/>
      <sheetName val="2B"/>
      <sheetName val="г-изоляция стар"/>
      <sheetName val="ги нов"/>
      <sheetName val="ГП ДС 2"/>
      <sheetName val="дс"/>
      <sheetName val="2C"/>
      <sheetName val="пр8"/>
      <sheetName val="входные_площадки_спуски"/>
      <sheetName val="2D"/>
      <sheetName val="обр зас"/>
      <sheetName val="ГП"/>
      <sheetName val="3A"/>
      <sheetName val="мусоропр к 5"/>
      <sheetName val="К 12"/>
      <sheetName val="мус к12"/>
      <sheetName val="сб)"/>
      <sheetName val="3B"/>
      <sheetName val="МК объем"/>
      <sheetName val="ML тенд"/>
      <sheetName val="4"/>
      <sheetName val="1 этап (2)"/>
      <sheetName val="мат Зак"/>
      <sheetName val="кратон1"/>
      <sheetName val="Перемычки"/>
      <sheetName val="5A"/>
      <sheetName val="Перегородки стар  "/>
      <sheetName val="5B"/>
      <sheetName val="прайс вебер"/>
      <sheetName val="мат фасад (2)"/>
      <sheetName val="ПСК кудрово 12"/>
      <sheetName val="гласстрой Мурино"/>
      <sheetName val="раскладка дом"/>
      <sheetName val="фасад БЖ"/>
      <sheetName val="фасад объем"/>
      <sheetName val="кирпич"/>
      <sheetName val="кирпич 12"/>
      <sheetName val="6"/>
      <sheetName val="витражи стар"/>
      <sheetName val="Авангард1"/>
      <sheetName val="Авангард2"/>
      <sheetName val="витражи1"/>
      <sheetName val="витражи2"/>
      <sheetName val="мур"/>
      <sheetName val="Авангард3"/>
      <sheetName val="ФР К95"/>
      <sheetName val="Кудрово -95"/>
      <sheetName val="7"/>
      <sheetName val="окна (2)"/>
      <sheetName val="окнакозерог"/>
      <sheetName val="8"/>
      <sheetName val="квартир 11"/>
      <sheetName val="двери"/>
      <sheetName val="переходной былкон"/>
      <sheetName val="ДОМ пер92"/>
      <sheetName val="пер балк "/>
      <sheetName val="металл дв"/>
      <sheetName val="юпитер 9"/>
      <sheetName val="двери (2)"/>
      <sheetName val="Расчет  (2)"/>
      <sheetName val="9"/>
      <sheetName val="козырьк"/>
      <sheetName val=" Козырьки"/>
      <sheetName val="кровля"/>
      <sheetName val="Материалы кр"/>
      <sheetName val="РС жд"/>
      <sheetName val="Тектон"/>
      <sheetName val="Рил 12 "/>
      <sheetName val="10"/>
      <sheetName val="лифт деко"/>
      <sheetName val="лифт ral"/>
      <sheetName val="отис"/>
      <sheetName val="11"/>
      <sheetName val="оввк"/>
      <sheetName val="мат зак (2)"/>
      <sheetName val="радиаторы"/>
      <sheetName val="сантехника"/>
      <sheetName val="радиаторы 2"/>
      <sheetName val="ИТП Кудрово 12"/>
      <sheetName val="12"/>
      <sheetName val="СС"/>
      <sheetName val="13"/>
      <sheetName val="ЭО дог"/>
      <sheetName val="14"/>
      <sheetName val="синт"/>
      <sheetName val="Расчет котельные 23.09.2014"/>
      <sheetName val="отделка_Корпус13"/>
      <sheetName val="РС_Секция_миронова"/>
      <sheetName val="РС_Секция_3"/>
      <sheetName val="расценки1"/>
      <sheetName val="кудр 6"/>
      <sheetName val="расценки"/>
      <sheetName val="Лист1"/>
      <sheetName val="квартирограф"/>
      <sheetName val="мат фасад"/>
      <sheetName val="мат черн"/>
      <sheetName val="Материалы чист"/>
      <sheetName val="15"/>
      <sheetName val="МАФы"/>
      <sheetName val="огражд"/>
      <sheetName val="посадки-лидер не исп"/>
      <sheetName val="Природа-Сервис 8П"/>
      <sheetName val="РС"/>
      <sheetName val="РС (2)"/>
      <sheetName val="мат"/>
      <sheetName val="16"/>
      <sheetName val="нагрузки Э старый"/>
      <sheetName val="17A"/>
      <sheetName val="НВК 12 не исп"/>
      <sheetName val="НТС 12 не исп"/>
      <sheetName val="НТС РС Кудрово 13"/>
      <sheetName val="Стройбизнес 13 пуск"/>
      <sheetName val="дренаж"/>
      <sheetName val="НО8"/>
      <sheetName val="Сарос"/>
      <sheetName val="17B"/>
      <sheetName val="Свод_форма"/>
      <sheetName val="Данные_по_очереди"/>
      <sheetName val="Данные_по_проекту"/>
      <sheetName val="Бюджет_с_ГУ"/>
      <sheetName val="Бюджет_б_ГУ"/>
      <sheetName val="дог_ПОС"/>
      <sheetName val="ДС_1_ПОС_13_Пуск_"/>
      <sheetName val="ДС_2_ПОС_13_Пуск_"/>
      <sheetName val="вр_эл"/>
      <sheetName val="смета_эс"/>
      <sheetName val="ДЭС_260"/>
      <sheetName val="ДЭС_500кВт"/>
      <sheetName val="Фунд_БК__"/>
      <sheetName val="дог_котлован"/>
      <sheetName val="дс_котлован"/>
      <sheetName val="дог_пр_сваи"/>
      <sheetName val="ПКТИ_испыт"/>
      <sheetName val="г-изоляция_стар"/>
      <sheetName val="ги_нов"/>
      <sheetName val="ГП_ДС_2"/>
      <sheetName val="обр_зас"/>
      <sheetName val="мусоропр_к_5"/>
      <sheetName val="К_12"/>
      <sheetName val="мус_к12"/>
      <sheetName val="МК_объем"/>
      <sheetName val="ML_тенд"/>
      <sheetName val="1_этап_(2)"/>
      <sheetName val="мат_Зак"/>
      <sheetName val="Перегородки_стар__"/>
      <sheetName val="прайс_вебер"/>
      <sheetName val="мат_фасад_(2)"/>
      <sheetName val="ПСК_кудрово_12"/>
      <sheetName val="гласстрой_Мурино"/>
      <sheetName val="раскладка_дом"/>
      <sheetName val="фасад_БЖ"/>
      <sheetName val="фасад_объем"/>
      <sheetName val="кирпич_12"/>
      <sheetName val="витражи_стар"/>
      <sheetName val="ФР_К95"/>
      <sheetName val="Кудрово_-95"/>
      <sheetName val="окна_(2)"/>
      <sheetName val="квартир_11"/>
      <sheetName val="переходной_былкон"/>
      <sheetName val="ДОМ_пер92"/>
      <sheetName val="пер_балк_"/>
      <sheetName val="металл_дв"/>
      <sheetName val="юпитер_9"/>
      <sheetName val="двери_(2)"/>
      <sheetName val="Расчет__(2)"/>
      <sheetName val="_Козырьки"/>
      <sheetName val="Материалы_кр"/>
      <sheetName val="РС_жд"/>
      <sheetName val="Рил_12_"/>
      <sheetName val="лифт_деко"/>
      <sheetName val="лифт_ral"/>
      <sheetName val="мат_зак_(2)"/>
      <sheetName val="радиаторы_2"/>
      <sheetName val="ИТП_Кудрово_12"/>
      <sheetName val="ЭО_дог"/>
      <sheetName val="Расчет_котельные_23_09_2014"/>
      <sheetName val="кудр_6"/>
      <sheetName val="мат_фасад"/>
      <sheetName val="мат_черн"/>
      <sheetName val="Материалы_чист"/>
      <sheetName val="посадки-лидер_не_исп"/>
      <sheetName val="Природа-Сервис_8П"/>
      <sheetName val="РС_(2)"/>
      <sheetName val="нагрузки_Э_старый"/>
      <sheetName val="НВК_12_не_исп"/>
      <sheetName val="НТС_12_не_исп"/>
      <sheetName val="НТС_РС_Кудрово_13"/>
      <sheetName val="Стройбизнес_13_пуск"/>
      <sheetName val="объем (2)"/>
      <sheetName val="окна по этажам"/>
      <sheetName val="ЭО (2)"/>
      <sheetName val="двери по этажам"/>
      <sheetName val="монолит"/>
      <sheetName val="8В"/>
      <sheetName val="7А"/>
      <sheetName val="6D"/>
      <sheetName val="расчет"/>
      <sheetName val="текущие"/>
    </sheetNames>
    <sheetDataSet>
      <sheetData sheetId="0"/>
      <sheetData sheetId="1">
        <row r="35">
          <cell r="B35">
            <v>71.147499999999994</v>
          </cell>
        </row>
      </sheetData>
      <sheetData sheetId="2">
        <row r="8">
          <cell r="D8">
            <v>3198</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row r="1">
          <cell r="O1">
            <v>1.2</v>
          </cell>
        </row>
      </sheetData>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b06"/>
      <sheetName val="march06"/>
      <sheetName val="april06"/>
      <sheetName val="may06"/>
      <sheetName val="june06old"/>
      <sheetName val="june06"/>
      <sheetName val="jule06"/>
      <sheetName val="aug06"/>
      <sheetName val="sept06"/>
      <sheetName val="oct06"/>
      <sheetName val="nov06"/>
      <sheetName val="dec06"/>
      <sheetName val="jan07"/>
      <sheetName val="расчет"/>
      <sheetName val="jan07 (newprice)"/>
      <sheetName val="feb07"/>
      <sheetName val="mar07"/>
      <sheetName val="apr07"/>
      <sheetName val="may07"/>
      <sheetName val="jun07"/>
      <sheetName val="jul07"/>
      <sheetName val="aug07"/>
      <sheetName val="sept07"/>
      <sheetName val="oct07"/>
      <sheetName val="nov07"/>
      <sheetName val="dec07"/>
      <sheetName val="Лист1"/>
      <sheetName val="расчетПрибылиNewPrice"/>
      <sheetName val="jan07_(newprice)"/>
      <sheetName val="Данные по проекту"/>
      <sheetName val="S проемов"/>
    </sheetNames>
    <sheetDataSet>
      <sheetData sheetId="0"/>
      <sheetData sheetId="1"/>
      <sheetData sheetId="2"/>
      <sheetData sheetId="3"/>
      <sheetData sheetId="4"/>
      <sheetData sheetId="5">
        <row r="110">
          <cell r="C110">
            <v>27.078900000000001</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1">
          <cell r="C1" t="str">
            <v>Площадь квартир проданная</v>
          </cell>
        </row>
      </sheetData>
      <sheetData sheetId="25"/>
      <sheetData sheetId="26">
        <row r="1">
          <cell r="C1" t="str">
            <v>Площадь квартир проданная</v>
          </cell>
        </row>
      </sheetData>
      <sheetData sheetId="27"/>
      <sheetData sheetId="28"/>
      <sheetData sheetId="29" refreshError="1"/>
      <sheetData sheetId="3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зюме"/>
      <sheetName val="расчет КМД2"/>
      <sheetName val="Лист3"/>
      <sheetName val="расчет_КМД2"/>
      <sheetName val="данные по проекту"/>
      <sheetName val="на 01.11.05 в нов.форме"/>
    </sheetNames>
    <sheetDataSet>
      <sheetData sheetId="0"/>
      <sheetData sheetId="1">
        <row r="12">
          <cell r="H12">
            <v>28.5</v>
          </cell>
        </row>
      </sheetData>
      <sheetData sheetId="2"/>
      <sheetData sheetId="3">
        <row r="12">
          <cell r="H12">
            <v>28.5</v>
          </cell>
        </row>
      </sheetData>
      <sheetData sheetId="4" refreshError="1"/>
      <sheetData sheetId="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чет"/>
      <sheetName val="Резюме"/>
      <sheetName val="Предложение собств-ку"/>
      <sheetName val="Предложение собств-ку (2)"/>
      <sheetName val="Безубыточность"/>
      <sheetName val="Предложение_собств-ку"/>
      <sheetName val="Предложение_собств-ку_(2)"/>
    </sheetNames>
    <sheetDataSet>
      <sheetData sheetId="0"/>
      <sheetData sheetId="1"/>
      <sheetData sheetId="2"/>
      <sheetData sheetId="3" refreshError="1"/>
      <sheetData sheetId="4" refreshError="1"/>
      <sheetData sheetId="5"/>
      <sheetData sheetId="6"/>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ф.план (2)"/>
      <sheetName val="ф.план"/>
      <sheetName val="Анализ чувствительности"/>
      <sheetName val="резюме"/>
      <sheetName val="Расчет макс-мин"/>
      <sheetName val="Лист1"/>
      <sheetName val="расчет "/>
      <sheetName val="Базовый расчет стоимости"/>
      <sheetName val="ф.план (с условиями)"/>
      <sheetName val="ф.план быстрый"/>
      <sheetName val="ф.план медленный"/>
      <sheetName val="информация"/>
      <sheetName val="ф.план б.учета конъюктуры"/>
      <sheetName val="Запускаемые объекты"/>
      <sheetName val="ф.план хороший(конъюктура)"/>
      <sheetName val="ф.план средний(конъюктура)"/>
      <sheetName val="ф.план (3)"/>
      <sheetName val="Факт. цены 2011"/>
      <sheetName val="ф_план_(2)"/>
      <sheetName val="ф_план"/>
      <sheetName val="Анализ_чувствительности"/>
      <sheetName val="Расчет_макс-мин"/>
      <sheetName val="расчет_"/>
      <sheetName val="Базовый_расчет_стоимости"/>
      <sheetName val="ф_план_(с_условиями)"/>
      <sheetName val="ф_план_быстрый"/>
      <sheetName val="ф_план_медленный"/>
      <sheetName val="ф_план_б_учета_конъюктуры"/>
      <sheetName val="Запускаемые_объекты"/>
      <sheetName val="ф_план_хороший(конъюктура)"/>
      <sheetName val="ф_план_средний(конъюктура)"/>
      <sheetName val="ф_план_(3)"/>
      <sheetName val="Факт__цены_2011"/>
      <sheetName val="Фактзатр"/>
      <sheetName val="Данные по проекту"/>
      <sheetName val="S проемов"/>
      <sheetName val="Расчет"/>
      <sheetName val="эл-списки"/>
      <sheetName val="график01.09.02"/>
      <sheetName val="расчет КМД2"/>
      <sheetName val="Предложение на торгах1 ($) (2)"/>
      <sheetName val="текущие"/>
    </sheetNames>
    <sheetDataSet>
      <sheetData sheetId="0" refreshError="1"/>
      <sheetData sheetId="1" refreshError="1"/>
      <sheetData sheetId="2" refreshError="1"/>
      <sheetData sheetId="3" refreshError="1"/>
      <sheetData sheetId="4" refreshError="1"/>
      <sheetData sheetId="5" refreshError="1"/>
      <sheetData sheetId="6" refreshError="1">
        <row r="12">
          <cell r="H12">
            <v>28.5</v>
          </cell>
        </row>
      </sheetData>
      <sheetData sheetId="7" refreshError="1"/>
      <sheetData sheetId="8"/>
      <sheetData sheetId="9" refreshError="1"/>
      <sheetData sheetId="10" refreshError="1"/>
      <sheetData sheetId="11"/>
      <sheetData sheetId="12"/>
      <sheetData sheetId="13"/>
      <sheetData sheetId="14"/>
      <sheetData sheetId="15"/>
      <sheetData sheetId="16"/>
      <sheetData sheetId="17" refreshError="1"/>
      <sheetData sheetId="18"/>
      <sheetData sheetId="19"/>
      <sheetData sheetId="20"/>
      <sheetData sheetId="21"/>
      <sheetData sheetId="22">
        <row r="12">
          <cell r="H12">
            <v>28.5</v>
          </cell>
        </row>
      </sheetData>
      <sheetData sheetId="23">
        <row r="12">
          <cell r="H12">
            <v>28.5</v>
          </cell>
        </row>
      </sheetData>
      <sheetData sheetId="24"/>
      <sheetData sheetId="25"/>
      <sheetData sheetId="26"/>
      <sheetData sheetId="27"/>
      <sheetData sheetId="28"/>
      <sheetData sheetId="29"/>
      <sheetData sheetId="30"/>
      <sheetData sheetId="31"/>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Р"/>
      <sheetName val="ЦП"/>
      <sheetName val="график"/>
      <sheetName val="Оглавление"/>
      <sheetName val="Свод форма (2)"/>
      <sheetName val="Лист3"/>
      <sheetName val="1E"/>
      <sheetName val="3 к без крылец (3)"/>
      <sheetName val="кладка расценки (2)"/>
      <sheetName val="2 оч"/>
      <sheetName val="Лист1"/>
      <sheetName val="ИПС"/>
      <sheetName val="Сравнение с 3 оч и 2 оч"/>
      <sheetName val="ДОУ"/>
      <sheetName val="Данные по очереди"/>
      <sheetName val="Данные по проекту"/>
      <sheetName val="Свод форма"/>
      <sheetName val="Бюджет с_ГУ"/>
      <sheetName val="Бюджет б_ГУ"/>
      <sheetName val="1А"/>
      <sheetName val="врем эл"/>
      <sheetName val="МУ-5-ПОС"/>
      <sheetName val="1В"/>
      <sheetName val="1D"/>
      <sheetName val="1С"/>
      <sheetName val="2A1"/>
      <sheetName val="котлован12"/>
      <sheetName val="котлован13-15"/>
      <sheetName val="котлован14"/>
      <sheetName val="2A"/>
      <sheetName val="пробн сваи"/>
      <sheetName val="сваи12"/>
      <sheetName val="сваи13-15"/>
      <sheetName val="сваи 14"/>
      <sheetName val="2B"/>
      <sheetName val="г-из объем"/>
      <sheetName val="2C"/>
      <sheetName val="расценки ЖБК"/>
      <sheetName val="2D"/>
      <sheetName val="3 к без крылец"/>
      <sheetName val="3 к без крылец (2)"/>
      <sheetName val="корп12 итог"/>
      <sheetName val="корп13 итог"/>
      <sheetName val="корп14 итог"/>
      <sheetName val="корп15 итог"/>
      <sheetName val="Каркас объемы"/>
      <sheetName val="3A"/>
      <sheetName val="мусоропровод"/>
      <sheetName val="3B"/>
      <sheetName val="объемы (2)"/>
      <sheetName val="металлоконструкции"/>
      <sheetName val="металл РС"/>
      <sheetName val="4"/>
      <sheetName val="перемычки "/>
      <sheetName val="перемычким брус"/>
      <sheetName val="5A"/>
      <sheetName val="кладка расценки"/>
      <sheetName val="Кладка ипс"/>
      <sheetName val="1"/>
      <sheetName val="5B"/>
      <sheetName val="керамогранит"/>
      <sheetName val="ниж.пов.лодж."/>
      <sheetName val="фасад тех.этаж"/>
      <sheetName val="фасад проверка"/>
      <sheetName val="Приямки"/>
      <sheetName val="фасад объем"/>
      <sheetName val="Расчет Ceresit"/>
      <sheetName val="Расчет Ceresit 3к"/>
      <sheetName val="6"/>
      <sheetName val="витражн дв"/>
      <sheetName val="витражи лодж"/>
      <sheetName val="витраж Корпус 3"/>
      <sheetName val="7"/>
      <sheetName val="окна12"/>
      <sheetName val="окна13"/>
      <sheetName val="окна14"/>
      <sheetName val="окна 15"/>
      <sheetName val="8"/>
      <sheetName val="двери объем"/>
      <sheetName val="двери прайс"/>
      <sheetName val="ЛК ЛХ"/>
      <sheetName val="внутрикв"/>
      <sheetName val="металл"/>
      <sheetName val="9"/>
      <sheetName val="кровля объемы"/>
      <sheetName val="кровля РС"/>
      <sheetName val="10"/>
      <sheetName val="лифты кол-во"/>
      <sheetName val="КП ЛМС"/>
      <sheetName val="КП ЛМС (2)"/>
      <sheetName val="11"/>
      <sheetName val="объем ИТП"/>
      <sheetName val="ИТП"/>
      <sheetName val="материалы"/>
      <sheetName val="сантех"/>
      <sheetName val="стат"/>
      <sheetName val="12"/>
      <sheetName val="стат СС 7-8"/>
      <sheetName val="13"/>
      <sheetName val="корп 3"/>
      <sheetName val="ясень-электро"/>
      <sheetName val="эо 12"/>
      <sheetName val="эо 13"/>
      <sheetName val="эо 14"/>
      <sheetName val="эо 15"/>
      <sheetName val="14"/>
      <sheetName val="роспись"/>
      <sheetName val="тепло"/>
      <sheetName val="прогрев шт"/>
      <sheetName val="9-1-1"/>
      <sheetName val="9-1-2"/>
      <sheetName val="9-1-3"/>
      <sheetName val="РС 9-1 и 9-5"/>
      <sheetName val="расценки"/>
      <sheetName val="прогрев"/>
      <sheetName val="Расчет котельные 23.09.2014"/>
      <sheetName val="15"/>
      <sheetName val="объем покр 1"/>
      <sheetName val="Объемы"/>
      <sheetName val="МАФ"/>
      <sheetName val="КСИЛ"/>
      <sheetName val="спорт"/>
      <sheetName val="посадки"/>
      <sheetName val="ограждения"/>
      <sheetName val="покрытия РС"/>
      <sheetName val="Смета"/>
      <sheetName val="16"/>
      <sheetName val="17A"/>
      <sheetName val="дренаж ДС 11"/>
      <sheetName val="НО1"/>
      <sheetName val="НВК"/>
      <sheetName val="ТС"/>
      <sheetName val="НВК 2"/>
      <sheetName val="17B"/>
      <sheetName val="17С"/>
      <sheetName val="мат"/>
      <sheetName val="МЕХ"/>
      <sheetName val="Спр нач"/>
      <sheetName val="расчет"/>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1">
          <cell r="B21">
            <v>64204</v>
          </cell>
        </row>
      </sheetData>
      <sheetData sheetId="15">
        <row r="8">
          <cell r="D8">
            <v>3445.15</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row r="11">
          <cell r="K11">
            <v>0.9</v>
          </cell>
        </row>
      </sheetData>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row r="4">
          <cell r="H4">
            <v>1.03</v>
          </cell>
        </row>
      </sheetData>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ДК (6)"/>
      <sheetName val="ДК (4)"/>
      <sheetName val="Лист3"/>
      <sheetName val="ДК (2)"/>
      <sheetName val="ДК (3)"/>
      <sheetName val="Лист1"/>
      <sheetName val="ИТОГ"/>
      <sheetName val="ДК"/>
      <sheetName val="ДК РС"/>
      <sheetName val="дороги"/>
      <sheetName val="ТС"/>
      <sheetName val="паркинг"/>
      <sheetName val="Смета_НВКиТС"/>
      <sheetName val="проект 32014-АД"/>
      <sheetName val="Укрупн.УК Мур"/>
      <sheetName val="Лист1 (2)"/>
      <sheetName val="ком. предложение"/>
      <sheetName val="Лист 1"/>
      <sheetName val="18.02.14  на отправку"/>
      <sheetName val="Укрупн.расч (15.05.14)"/>
      <sheetName val="ДК (5)"/>
      <sheetName val="ИТОГИ"/>
      <sheetName val="нагрузки"/>
      <sheetName val="ИТОГИ общ"/>
      <sheetName val="график01.09.02"/>
    </sheetNames>
    <sheetDataSet>
      <sheetData sheetId="0"/>
      <sheetData sheetId="1"/>
      <sheetData sheetId="2"/>
      <sheetData sheetId="3">
        <row r="4">
          <cell r="A4" t="str">
            <v>1. В О Д О С Н А Б Ж Е Н И Е (ПП)</v>
          </cell>
        </row>
      </sheetData>
      <sheetData sheetId="4"/>
      <sheetData sheetId="5"/>
      <sheetData sheetId="6"/>
      <sheetData sheetId="7">
        <row r="24">
          <cell r="G24">
            <v>654.20833333333337</v>
          </cell>
        </row>
      </sheetData>
      <sheetData sheetId="8"/>
      <sheetData sheetId="9"/>
      <sheetData sheetId="10"/>
      <sheetData sheetId="11"/>
      <sheetData sheetId="12"/>
      <sheetData sheetId="13"/>
      <sheetData sheetId="14"/>
      <sheetData sheetId="15">
        <row r="4">
          <cell r="C4">
            <v>4.17</v>
          </cell>
          <cell r="E4">
            <v>41.67</v>
          </cell>
        </row>
        <row r="5">
          <cell r="C5">
            <v>714000</v>
          </cell>
          <cell r="D5">
            <v>711600</v>
          </cell>
          <cell r="E5">
            <v>709200</v>
          </cell>
        </row>
        <row r="6">
          <cell r="C6">
            <v>738000</v>
          </cell>
          <cell r="D6">
            <v>735600</v>
          </cell>
          <cell r="E6">
            <v>733200</v>
          </cell>
        </row>
        <row r="12">
          <cell r="E12">
            <v>52</v>
          </cell>
        </row>
        <row r="19">
          <cell r="E19">
            <v>463.67650000000003</v>
          </cell>
        </row>
      </sheetData>
      <sheetData sheetId="16"/>
      <sheetData sheetId="17"/>
      <sheetData sheetId="18"/>
      <sheetData sheetId="19"/>
      <sheetData sheetId="20"/>
      <sheetData sheetId="21" refreshError="1"/>
      <sheetData sheetId="22" refreshError="1"/>
      <sheetData sheetId="23" refreshError="1"/>
      <sheetData sheetId="2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нижн.пов.лоджий"/>
      <sheetName val="фасад смета"/>
      <sheetName val="фасад расчет 6"/>
      <sheetName val="перегор лоджий объем"/>
      <sheetName val="кирпич и тонк шт"/>
      <sheetName val="S фасадов+керамогр+карниз"/>
      <sheetName val="перемычки "/>
      <sheetName val="витражные окна квартир"/>
      <sheetName val="витражи АВАНГАРД"/>
      <sheetName val="витражн витрины и двери 1эт"/>
      <sheetName val="витражи РАСЧЕТ"/>
      <sheetName val="текущие"/>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H2">
            <v>1.5899999999999999</v>
          </cell>
          <cell r="I2">
            <v>0.66</v>
          </cell>
        </row>
      </sheetData>
      <sheetData sheetId="8" refreshError="1"/>
      <sheetData sheetId="9">
        <row r="14">
          <cell r="J14">
            <v>2.56</v>
          </cell>
        </row>
      </sheetData>
      <sheetData sheetId="10" refreshError="1"/>
      <sheetData sheetId="1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перац."/>
      <sheetName val="Лист1"/>
      <sheetName val="расчет"/>
      <sheetName val="резюме"/>
      <sheetName val="Лист3"/>
      <sheetName val="расчет 1"/>
      <sheetName val="резюме отчет"/>
      <sheetName val="расчет %"/>
      <sheetName val="Предложение на торгах1 ($) (2)"/>
      <sheetName val="Предложение собств-ку (нов фор)"/>
      <sheetName val="Последний вариант для Селиванов"/>
      <sheetName val="Посл.вариант для Селиванова"/>
      <sheetName val="Предложение собств-ку (нов  (3)"/>
      <sheetName val="Операц_"/>
      <sheetName val="расчет_1"/>
      <sheetName val="резюме_отчет"/>
      <sheetName val="расчет_%"/>
      <sheetName val="Предложение_на_торгах1_($)_(2)"/>
      <sheetName val="Предложение_собств-ку_(нов_фор)"/>
      <sheetName val="Последний_вариант_для_Селиванов"/>
      <sheetName val="Посл_вариант_для_Селиванова"/>
      <sheetName val="Предложение_собств-ку_(нов__(3)"/>
      <sheetName val="текущие"/>
      <sheetName val="Данные по проекту"/>
      <sheetName val="АВАНГАРДпересчет"/>
      <sheetName val="спецификация проект"/>
    </sheetNames>
    <sheetDataSet>
      <sheetData sheetId="0" refreshError="1"/>
      <sheetData sheetId="1" refreshError="1"/>
      <sheetData sheetId="2">
        <row r="7">
          <cell r="C7">
            <v>5323</v>
          </cell>
        </row>
        <row r="11">
          <cell r="C11">
            <v>5030.2350000000006</v>
          </cell>
        </row>
      </sheetData>
      <sheetData sheetId="3" refreshError="1"/>
      <sheetData sheetId="4" refreshError="1"/>
      <sheetData sheetId="5" refreshError="1"/>
      <sheetData sheetId="6" refreshError="1"/>
      <sheetData sheetId="7" refreshError="1"/>
      <sheetData sheetId="8">
        <row r="21">
          <cell r="L21">
            <v>18867.924528301886</v>
          </cell>
        </row>
      </sheetData>
      <sheetData sheetId="9" refreshError="1"/>
      <sheetData sheetId="10"/>
      <sheetData sheetId="11" refreshError="1"/>
      <sheetData sheetId="12" refreshError="1"/>
      <sheetData sheetId="13"/>
      <sheetData sheetId="14"/>
      <sheetData sheetId="15"/>
      <sheetData sheetId="16"/>
      <sheetData sheetId="17">
        <row r="21">
          <cell r="L21">
            <v>18867.924528301886</v>
          </cell>
        </row>
      </sheetData>
      <sheetData sheetId="18"/>
      <sheetData sheetId="19"/>
      <sheetData sheetId="20"/>
      <sheetData sheetId="21"/>
      <sheetData sheetId="22" refreshError="1"/>
      <sheetData sheetId="23" refreshError="1"/>
      <sheetData sheetId="24" refreshError="1"/>
      <sheetData sheetId="2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лькуляция"/>
      <sheetName val="накопительная"/>
      <sheetName val="S проемов"/>
      <sheetName val="расчет КМД2"/>
      <sheetName val="Зак-к-КСМ2 21"/>
      <sheetName val="S_проемов"/>
      <sheetName val="S_проемов1"/>
    </sheetNames>
    <sheetDataSet>
      <sheetData sheetId="0"/>
      <sheetData sheetId="1" refreshError="1"/>
      <sheetData sheetId="2" refreshError="1"/>
      <sheetData sheetId="3" refreshError="1"/>
      <sheetData sheetId="4" refreshError="1"/>
      <sheetData sheetId="5" refreshError="1"/>
      <sheetData sheetId="6"/>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нижн.пов.лоджий"/>
      <sheetName val="фасад смета"/>
      <sheetName val="фасад расчет 6"/>
      <sheetName val="перегор лоджий объем"/>
      <sheetName val="кирпич и тонк шт"/>
      <sheetName val="S фасадов+керамогр+карниз"/>
      <sheetName val="перемычки "/>
      <sheetName val="витражные окна квартир"/>
      <sheetName val="АВАНГАРДпересчет"/>
      <sheetName val="витражи АВАНГАРД"/>
      <sheetName val="витражн витрины и двери 1эт"/>
      <sheetName val="витражи РАСЧЕТ"/>
      <sheetName val="нижн_пов_лоджий"/>
      <sheetName val="фасад_смета"/>
      <sheetName val="фасад_расчет_6"/>
      <sheetName val="перегор_лоджий_объем"/>
      <sheetName val="кирпич_и_тонк_шт"/>
      <sheetName val="S_фасадов+керамогр+карниз"/>
      <sheetName val="перемычки_"/>
      <sheetName val="витражные_окна_квартир"/>
      <sheetName val="витражи_АВАНГАРД"/>
      <sheetName val="витражн_витрины_и_двери_1эт"/>
      <sheetName val="витражи_РАСЧЕТ"/>
      <sheetName val="Лист1 (2)"/>
      <sheetName val="Проект"/>
      <sheetName val="Наценка (2)"/>
    </sheetNames>
    <sheetDataSet>
      <sheetData sheetId="0"/>
      <sheetData sheetId="1"/>
      <sheetData sheetId="2"/>
      <sheetData sheetId="3"/>
      <sheetData sheetId="4"/>
      <sheetData sheetId="5"/>
      <sheetData sheetId="6"/>
      <sheetData sheetId="7">
        <row r="2">
          <cell r="H2">
            <v>1.5899999999999999</v>
          </cell>
        </row>
      </sheetData>
      <sheetData sheetId="8"/>
      <sheetData sheetId="9"/>
      <sheetData sheetId="10">
        <row r="14">
          <cell r="J14">
            <v>2.56</v>
          </cell>
        </row>
      </sheetData>
      <sheetData sheetId="11"/>
      <sheetData sheetId="12"/>
      <sheetData sheetId="13"/>
      <sheetData sheetId="14"/>
      <sheetData sheetId="15"/>
      <sheetData sheetId="16"/>
      <sheetData sheetId="17"/>
      <sheetData sheetId="18"/>
      <sheetData sheetId="19">
        <row r="2">
          <cell r="H2">
            <v>1.5899999999999999</v>
          </cell>
        </row>
      </sheetData>
      <sheetData sheetId="20"/>
      <sheetData sheetId="21">
        <row r="14">
          <cell r="J14">
            <v>2.56</v>
          </cell>
        </row>
      </sheetData>
      <sheetData sheetId="22"/>
      <sheetData sheetId="23" refreshError="1"/>
      <sheetData sheetId="24" refreshError="1"/>
      <sheetData sheetId="25"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для экспорта (2)"/>
      <sheetName val="для экспорта"/>
      <sheetName val="дерево с инф (2)"/>
      <sheetName val="Данные по очереди"/>
      <sheetName val="ЦП"/>
      <sheetName val="Данные по проекту"/>
      <sheetName val="график"/>
      <sheetName val="% материалов"/>
      <sheetName val="индексы"/>
      <sheetName val="прогноз СМР"/>
      <sheetName val="проверка"/>
      <sheetName val="дерево с инф"/>
      <sheetName val="форма ПВ-общ"/>
      <sheetName val="форма ПВ-на м2"/>
      <sheetName val="Свод форма на м2 с инфл"/>
      <sheetName val="Свод форма с инф"/>
      <sheetName val="Свод форма на м2"/>
      <sheetName val="Свод форма"/>
      <sheetName val="дерево"/>
      <sheetName val="ОП_Арх"/>
      <sheetName val="1"/>
      <sheetName val="2А"/>
      <sheetName val="2В"/>
      <sheetName val="2D"/>
      <sheetName val="2,1D"/>
      <sheetName val="3НС"/>
      <sheetName val="объемы по НС"/>
      <sheetName val="3ТУ"/>
      <sheetName val="4А"/>
      <sheetName val="4B-1"/>
      <sheetName val="4В-2"/>
      <sheetName val="4C"/>
      <sheetName val="5-1"/>
      <sheetName val="5-2"/>
      <sheetName val="6A"/>
      <sheetName val="6C"/>
      <sheetName val="6B"/>
      <sheetName val="6G"/>
      <sheetName val="6E"/>
      <sheetName val="6Q"/>
      <sheetName val="6D"/>
      <sheetName val="7А"/>
      <sheetName val="7В"/>
      <sheetName val="8А"/>
      <sheetName val="9"/>
      <sheetName val="10"/>
      <sheetName val="11"/>
      <sheetName val="12"/>
      <sheetName val="13"/>
      <sheetName val="14"/>
      <sheetName val="мат"/>
      <sheetName val="МЕХ"/>
      <sheetName val="Спр нач"/>
      <sheetName val="Лист2"/>
      <sheetName val="ПНР ТС"/>
      <sheetName val="ОБъемы"/>
      <sheetName val="Лист4"/>
      <sheetName val="для_экспорта_(2)"/>
      <sheetName val="для_экспорта"/>
      <sheetName val="дерево_с_инф_(2)"/>
      <sheetName val="Данные_по_очереди"/>
      <sheetName val="Данные_по_проекту"/>
      <sheetName val="%_материалов"/>
      <sheetName val="прогноз_СМР"/>
      <sheetName val="дерево_с_инф"/>
      <sheetName val="форма_ПВ-общ"/>
      <sheetName val="форма_ПВ-на_м2"/>
      <sheetName val="Свод_форма_на_м2_с_инфл"/>
      <sheetName val="Свод_форма_с_инф"/>
      <sheetName val="Свод_форма_на_м2"/>
      <sheetName val="Свод_форма"/>
      <sheetName val="объемы_по_НС"/>
      <sheetName val="Спр_нач"/>
      <sheetName val="ПНР_ТС"/>
      <sheetName val="на 01.11.05 в нов.форме"/>
    </sheetNames>
    <sheetDataSet>
      <sheetData sheetId="0" refreshError="1"/>
      <sheetData sheetId="1" refreshError="1"/>
      <sheetData sheetId="2" refreshError="1"/>
      <sheetData sheetId="3" refreshError="1"/>
      <sheetData sheetId="4" refreshError="1"/>
      <sheetData sheetId="5">
        <row r="20">
          <cell r="C20">
            <v>56155.5</v>
          </cell>
        </row>
      </sheetData>
      <sheetData sheetId="6" refreshError="1"/>
      <sheetData sheetId="7" refreshError="1"/>
      <sheetData sheetId="8" refreshError="1"/>
      <sheetData sheetId="9">
        <row r="6">
          <cell r="B6">
            <v>41183</v>
          </cell>
          <cell r="C6">
            <v>41214</v>
          </cell>
          <cell r="D6">
            <v>41244</v>
          </cell>
          <cell r="E6">
            <v>41275</v>
          </cell>
          <cell r="F6">
            <v>41306</v>
          </cell>
          <cell r="G6">
            <v>41334</v>
          </cell>
          <cell r="H6">
            <v>41365</v>
          </cell>
          <cell r="I6">
            <v>41395</v>
          </cell>
          <cell r="J6">
            <v>41426</v>
          </cell>
          <cell r="K6">
            <v>41456</v>
          </cell>
          <cell r="L6">
            <v>41487</v>
          </cell>
          <cell r="M6">
            <v>41518</v>
          </cell>
          <cell r="N6">
            <v>41548</v>
          </cell>
          <cell r="O6">
            <v>41579</v>
          </cell>
          <cell r="P6">
            <v>41609</v>
          </cell>
          <cell r="Q6">
            <v>41640</v>
          </cell>
          <cell r="R6">
            <v>41671</v>
          </cell>
          <cell r="S6">
            <v>41699</v>
          </cell>
          <cell r="T6">
            <v>41730</v>
          </cell>
          <cell r="U6">
            <v>41760</v>
          </cell>
          <cell r="V6">
            <v>41791</v>
          </cell>
          <cell r="W6">
            <v>41821</v>
          </cell>
          <cell r="X6">
            <v>41852</v>
          </cell>
          <cell r="Y6">
            <v>41883</v>
          </cell>
          <cell r="Z6">
            <v>41913</v>
          </cell>
          <cell r="AA6">
            <v>41944</v>
          </cell>
          <cell r="AB6">
            <v>41974</v>
          </cell>
          <cell r="AC6">
            <v>42005</v>
          </cell>
          <cell r="AD6">
            <v>42036</v>
          </cell>
          <cell r="AE6">
            <v>42064</v>
          </cell>
          <cell r="AF6">
            <v>42095</v>
          </cell>
          <cell r="AG6">
            <v>42125</v>
          </cell>
          <cell r="AH6">
            <v>42156</v>
          </cell>
          <cell r="AI6">
            <v>42186</v>
          </cell>
          <cell r="AJ6">
            <v>42217</v>
          </cell>
          <cell r="AK6">
            <v>42248</v>
          </cell>
          <cell r="AL6">
            <v>42278</v>
          </cell>
          <cell r="AM6">
            <v>42309</v>
          </cell>
          <cell r="AN6">
            <v>42339</v>
          </cell>
          <cell r="AO6">
            <v>42370</v>
          </cell>
          <cell r="AP6">
            <v>42401</v>
          </cell>
          <cell r="AQ6">
            <v>42430</v>
          </cell>
          <cell r="AR6">
            <v>42461</v>
          </cell>
          <cell r="AS6">
            <v>42491</v>
          </cell>
          <cell r="AT6">
            <v>42522</v>
          </cell>
          <cell r="AU6">
            <v>42552</v>
          </cell>
          <cell r="AV6">
            <v>42583</v>
          </cell>
          <cell r="AW6">
            <v>42614</v>
          </cell>
          <cell r="AX6">
            <v>42644</v>
          </cell>
          <cell r="AY6">
            <v>42675</v>
          </cell>
          <cell r="AZ6">
            <v>42705</v>
          </cell>
          <cell r="BA6">
            <v>42736</v>
          </cell>
          <cell r="BB6">
            <v>42767</v>
          </cell>
          <cell r="BC6">
            <v>42795</v>
          </cell>
          <cell r="BD6">
            <v>42826</v>
          </cell>
          <cell r="BE6">
            <v>42856</v>
          </cell>
          <cell r="BF6">
            <v>42887</v>
          </cell>
          <cell r="BG6">
            <v>42917</v>
          </cell>
          <cell r="BH6">
            <v>42948</v>
          </cell>
          <cell r="BI6">
            <v>42979</v>
          </cell>
          <cell r="BJ6">
            <v>43009</v>
          </cell>
          <cell r="BK6">
            <v>43040</v>
          </cell>
          <cell r="BL6">
            <v>43070</v>
          </cell>
          <cell r="BM6">
            <v>43101</v>
          </cell>
          <cell r="BN6">
            <v>43132</v>
          </cell>
          <cell r="BO6">
            <v>43160</v>
          </cell>
          <cell r="BP6">
            <v>43191</v>
          </cell>
          <cell r="BQ6">
            <v>43221</v>
          </cell>
          <cell r="BR6">
            <v>43252</v>
          </cell>
          <cell r="BS6">
            <v>43282</v>
          </cell>
          <cell r="BT6">
            <v>43313</v>
          </cell>
          <cell r="BU6">
            <v>43344</v>
          </cell>
        </row>
        <row r="7">
          <cell r="B7">
            <v>7.0650000000000004</v>
          </cell>
          <cell r="C7">
            <v>7.0869999999999997</v>
          </cell>
          <cell r="D7">
            <v>7.1609999999999996</v>
          </cell>
          <cell r="E7">
            <v>7.1830797499999992</v>
          </cell>
          <cell r="F7">
            <v>7.2052275792291658</v>
          </cell>
          <cell r="G7">
            <v>7.2274436975984555</v>
          </cell>
          <cell r="H7">
            <v>7.2497283156660508</v>
          </cell>
          <cell r="I7">
            <v>7.2720816446393544</v>
          </cell>
          <cell r="J7">
            <v>7.2945038963769919</v>
          </cell>
          <cell r="K7">
            <v>7.3169952833908214</v>
          </cell>
          <cell r="L7">
            <v>7.3395560188479427</v>
          </cell>
          <cell r="M7">
            <v>7.3621863165727239</v>
          </cell>
          <cell r="N7">
            <v>7.3848863910488234</v>
          </cell>
          <cell r="O7">
            <v>7.4076564574212238</v>
          </cell>
          <cell r="P7">
            <v>7.4304967314982724</v>
          </cell>
          <cell r="Q7">
            <v>7.4645531748509732</v>
          </cell>
          <cell r="R7">
            <v>7.4987657102357073</v>
          </cell>
          <cell r="S7">
            <v>7.5331350530742878</v>
          </cell>
          <cell r="T7">
            <v>7.5676619220675452</v>
          </cell>
          <cell r="U7">
            <v>7.6023470392103549</v>
          </cell>
          <cell r="V7">
            <v>7.6371911298067356</v>
          </cell>
          <cell r="W7">
            <v>7.6721949224850166</v>
          </cell>
          <cell r="X7">
            <v>7.7073591492130733</v>
          </cell>
          <cell r="Y7">
            <v>7.742684545313633</v>
          </cell>
          <cell r="Z7">
            <v>7.7781718494796541</v>
          </cell>
          <cell r="AA7">
            <v>7.8138218037897689</v>
          </cell>
          <cell r="AB7">
            <v>7.8496351537238054</v>
          </cell>
          <cell r="AC7">
            <v>7.9150487800048372</v>
          </cell>
          <cell r="AD7">
            <v>7.9810075198382107</v>
          </cell>
          <cell r="AE7">
            <v>8.047515915836863</v>
          </cell>
          <cell r="AF7">
            <v>8.1145785484688364</v>
          </cell>
          <cell r="AG7">
            <v>8.182200036372743</v>
          </cell>
          <cell r="AH7">
            <v>8.2503850366758495</v>
          </cell>
          <cell r="AI7">
            <v>8.3191382453148144</v>
          </cell>
          <cell r="AJ7">
            <v>8.3884643973591047</v>
          </cell>
          <cell r="AK7">
            <v>8.4583682673370966</v>
          </cell>
          <cell r="AL7">
            <v>8.5288546695649057</v>
          </cell>
          <cell r="AM7">
            <v>8.5999284584779474</v>
          </cell>
          <cell r="AN7">
            <v>8.6715945289652634</v>
          </cell>
          <cell r="AO7">
            <v>8.7438578167066403</v>
          </cell>
          <cell r="AP7">
            <v>8.8167232985125281</v>
          </cell>
          <cell r="AQ7">
            <v>8.8901959926667988</v>
          </cell>
          <cell r="AR7">
            <v>8.9642809592723562</v>
          </cell>
          <cell r="AS7">
            <v>9.0389833005996252</v>
          </cell>
          <cell r="AT7">
            <v>9.1143081614379557</v>
          </cell>
          <cell r="AU7">
            <v>9.190260729449939</v>
          </cell>
          <cell r="AV7">
            <v>9.2668462355286891</v>
          </cell>
          <cell r="AW7">
            <v>9.344069954158094</v>
          </cell>
          <cell r="AX7">
            <v>9.4219372037760785</v>
          </cell>
          <cell r="AY7">
            <v>9.5004533471408799</v>
          </cell>
          <cell r="AZ7">
            <v>9.5796237917003868</v>
          </cell>
          <cell r="BA7">
            <v>9.6594539899645575</v>
          </cell>
          <cell r="BB7">
            <v>9.7399494398809292</v>
          </cell>
          <cell r="BC7">
            <v>9.8211156852132699</v>
          </cell>
          <cell r="BD7">
            <v>9.9029583159233798</v>
          </cell>
          <cell r="BE7">
            <v>9.9854829685560755</v>
          </cell>
          <cell r="BF7">
            <v>10.068695326627376</v>
          </cell>
          <cell r="BG7">
            <v>10.152601121015937</v>
          </cell>
          <cell r="BH7">
            <v>10.237206130357738</v>
          </cell>
          <cell r="BI7">
            <v>10.322516181444051</v>
          </cell>
          <cell r="BJ7">
            <v>10.408537149622752</v>
          </cell>
          <cell r="BK7">
            <v>10.495274959202941</v>
          </cell>
          <cell r="BL7">
            <v>10.582735583862966</v>
          </cell>
          <cell r="BM7">
            <v>10.670925047061825</v>
          </cell>
          <cell r="BN7">
            <v>10.759849422454007</v>
          </cell>
          <cell r="BO7">
            <v>10.84951483430779</v>
          </cell>
          <cell r="BP7">
            <v>10.939927457927022</v>
          </cell>
          <cell r="BQ7">
            <v>11.031093520076414</v>
          </cell>
          <cell r="BR7">
            <v>11.123019299410384</v>
          </cell>
          <cell r="BS7">
            <v>11.21571112690547</v>
          </cell>
          <cell r="BT7">
            <v>11.309175386296349</v>
          </cell>
          <cell r="BU7">
            <v>11.403418514515485</v>
          </cell>
        </row>
        <row r="8">
          <cell r="D8">
            <v>1.0441653732185641E-2</v>
          </cell>
          <cell r="E8">
            <v>3.0833333333333329E-3</v>
          </cell>
          <cell r="F8">
            <v>3.0833333333333329E-3</v>
          </cell>
          <cell r="G8">
            <v>3.0833333333333329E-3</v>
          </cell>
          <cell r="H8">
            <v>3.0833333333333329E-3</v>
          </cell>
          <cell r="I8">
            <v>3.0833333333333329E-3</v>
          </cell>
          <cell r="J8">
            <v>3.0833333333333329E-3</v>
          </cell>
          <cell r="K8">
            <v>3.0833333333333329E-3</v>
          </cell>
          <cell r="L8">
            <v>3.0833333333333329E-3</v>
          </cell>
          <cell r="M8">
            <v>3.0833333333333329E-3</v>
          </cell>
          <cell r="N8">
            <v>3.0833333333333329E-3</v>
          </cell>
          <cell r="O8">
            <v>3.0833333333333329E-3</v>
          </cell>
          <cell r="P8">
            <v>3.0833333333333329E-3</v>
          </cell>
          <cell r="Q8">
            <v>4.5833333333333334E-3</v>
          </cell>
          <cell r="R8">
            <v>4.5833333333333334E-3</v>
          </cell>
          <cell r="S8">
            <v>4.5833333333333334E-3</v>
          </cell>
          <cell r="T8">
            <v>4.5833333333333334E-3</v>
          </cell>
          <cell r="U8">
            <v>4.5833333333333334E-3</v>
          </cell>
          <cell r="V8">
            <v>4.5833333333333334E-3</v>
          </cell>
          <cell r="W8">
            <v>4.5833333333333334E-3</v>
          </cell>
          <cell r="X8">
            <v>4.5833333333333334E-3</v>
          </cell>
          <cell r="Y8">
            <v>4.5833333333333334E-3</v>
          </cell>
          <cell r="Z8">
            <v>4.5833333333333334E-3</v>
          </cell>
          <cell r="AA8">
            <v>4.5833333333333334E-3</v>
          </cell>
          <cell r="AB8">
            <v>4.5833333333333334E-3</v>
          </cell>
          <cell r="AC8">
            <v>8.3333333333333332E-3</v>
          </cell>
          <cell r="AD8">
            <v>8.3333333333333332E-3</v>
          </cell>
          <cell r="AE8">
            <v>8.3333333333333332E-3</v>
          </cell>
          <cell r="AF8">
            <v>8.3333333333333332E-3</v>
          </cell>
          <cell r="AG8">
            <v>8.3333333333333332E-3</v>
          </cell>
          <cell r="AH8">
            <v>8.3333333333333332E-3</v>
          </cell>
          <cell r="AI8">
            <v>8.3333333333333332E-3</v>
          </cell>
          <cell r="AJ8">
            <v>8.3333333333333332E-3</v>
          </cell>
          <cell r="AK8">
            <v>8.3333333333333332E-3</v>
          </cell>
          <cell r="AL8">
            <v>8.3333333333333332E-3</v>
          </cell>
          <cell r="AM8">
            <v>8.3333333333333332E-3</v>
          </cell>
          <cell r="AN8">
            <v>8.3333333333333332E-3</v>
          </cell>
          <cell r="AO8">
            <v>8.3333333333333332E-3</v>
          </cell>
          <cell r="AP8">
            <v>8.3333333333333332E-3</v>
          </cell>
          <cell r="AQ8">
            <v>8.3333333333333332E-3</v>
          </cell>
          <cell r="AR8">
            <v>8.3333333333333332E-3</v>
          </cell>
          <cell r="AS8">
            <v>8.3333333333333332E-3</v>
          </cell>
          <cell r="AT8">
            <v>8.3333333333333332E-3</v>
          </cell>
          <cell r="AU8">
            <v>8.3333333333333332E-3</v>
          </cell>
          <cell r="AV8">
            <v>8.3333333333333332E-3</v>
          </cell>
          <cell r="AW8">
            <v>8.3333333333333332E-3</v>
          </cell>
          <cell r="AX8">
            <v>8.3333333333333332E-3</v>
          </cell>
          <cell r="AY8">
            <v>8.3333333333333332E-3</v>
          </cell>
          <cell r="AZ8">
            <v>8.3333333333333332E-3</v>
          </cell>
          <cell r="BA8">
            <v>8.3333333333333332E-3</v>
          </cell>
          <cell r="BB8">
            <v>8.3333333333333332E-3</v>
          </cell>
          <cell r="BC8">
            <v>8.3333333333333332E-3</v>
          </cell>
          <cell r="BD8">
            <v>8.3333333333333332E-3</v>
          </cell>
          <cell r="BE8">
            <v>8.3333333333333332E-3</v>
          </cell>
          <cell r="BF8">
            <v>8.3333333333333332E-3</v>
          </cell>
          <cell r="BG8">
            <v>8.3333333333333332E-3</v>
          </cell>
          <cell r="BH8">
            <v>8.3333333333333332E-3</v>
          </cell>
          <cell r="BI8">
            <v>8.3333333333333332E-3</v>
          </cell>
          <cell r="BJ8">
            <v>8.3333333333333332E-3</v>
          </cell>
          <cell r="BK8">
            <v>8.3333333333333332E-3</v>
          </cell>
          <cell r="BL8">
            <v>8.3333333333333332E-3</v>
          </cell>
          <cell r="BM8">
            <v>8.3333333333333332E-3</v>
          </cell>
          <cell r="BN8">
            <v>8.3333333333333332E-3</v>
          </cell>
          <cell r="BO8">
            <v>8.3333333333333332E-3</v>
          </cell>
          <cell r="BP8">
            <v>8.3333333333333332E-3</v>
          </cell>
          <cell r="BQ8">
            <v>8.3333333333333332E-3</v>
          </cell>
          <cell r="BR8">
            <v>8.3333333333333332E-3</v>
          </cell>
          <cell r="BS8">
            <v>8.3333333333333332E-3</v>
          </cell>
          <cell r="BT8">
            <v>8.3333333333333332E-3</v>
          </cell>
          <cell r="BU8">
            <v>8.3333333333333332E-3</v>
          </cell>
        </row>
        <row r="9">
          <cell r="B9">
            <v>7.0650000000000004</v>
          </cell>
          <cell r="C9">
            <v>7.0869999999999997</v>
          </cell>
          <cell r="D9">
            <v>7.1609999999999996</v>
          </cell>
          <cell r="E9">
            <v>7.1830797499999992</v>
          </cell>
          <cell r="F9">
            <v>7.2052275792291658</v>
          </cell>
          <cell r="G9">
            <v>7.2274436975984555</v>
          </cell>
          <cell r="H9">
            <v>7.2497283156660508</v>
          </cell>
          <cell r="I9">
            <v>7.2720816446393544</v>
          </cell>
          <cell r="J9">
            <v>7.2945038963769919</v>
          </cell>
          <cell r="K9">
            <v>7.3169952833908214</v>
          </cell>
          <cell r="L9">
            <v>7.3395560188479427</v>
          </cell>
          <cell r="M9">
            <v>7.3621863165727239</v>
          </cell>
          <cell r="N9">
            <v>7.3848863910488234</v>
          </cell>
          <cell r="O9">
            <v>7.4076564574212238</v>
          </cell>
          <cell r="P9">
            <v>7.4304967314982724</v>
          </cell>
          <cell r="Q9">
            <v>7.4645531748509732</v>
          </cell>
          <cell r="R9">
            <v>7.4987657102357073</v>
          </cell>
          <cell r="S9">
            <v>7.5331350530742878</v>
          </cell>
          <cell r="T9">
            <v>7.5676619220675452</v>
          </cell>
          <cell r="U9">
            <v>7.6023470392103549</v>
          </cell>
          <cell r="V9">
            <v>7.6371911298067356</v>
          </cell>
          <cell r="W9">
            <v>7.6721949224850166</v>
          </cell>
          <cell r="X9">
            <v>7.7073591492130733</v>
          </cell>
          <cell r="Y9">
            <v>7.742684545313633</v>
          </cell>
          <cell r="Z9">
            <v>7.7781718494796541</v>
          </cell>
          <cell r="AA9">
            <v>7.8138218037897689</v>
          </cell>
          <cell r="AB9">
            <v>7.8496351537238054</v>
          </cell>
          <cell r="AC9">
            <v>7.9150487800048372</v>
          </cell>
          <cell r="AD9">
            <v>7.9810075198382107</v>
          </cell>
          <cell r="AE9">
            <v>8.047515915836863</v>
          </cell>
          <cell r="AF9">
            <v>8.1145785484688364</v>
          </cell>
          <cell r="AG9">
            <v>8.182200036372743</v>
          </cell>
          <cell r="AH9">
            <v>8.2503850366758495</v>
          </cell>
          <cell r="AI9">
            <v>8.3191382453148144</v>
          </cell>
          <cell r="AJ9">
            <v>8.3884643973591047</v>
          </cell>
          <cell r="AK9">
            <v>8.4583682673370966</v>
          </cell>
          <cell r="AL9">
            <v>8.5288546695649057</v>
          </cell>
          <cell r="AM9">
            <v>8.5999284584779474</v>
          </cell>
          <cell r="AN9">
            <v>8.6715945289652634</v>
          </cell>
          <cell r="AO9">
            <v>8.7438578167066403</v>
          </cell>
          <cell r="AP9">
            <v>8.8167232985125281</v>
          </cell>
          <cell r="AQ9">
            <v>8.8901959926667988</v>
          </cell>
          <cell r="AR9">
            <v>8.9642809592723562</v>
          </cell>
          <cell r="AS9">
            <v>9.0389833005996252</v>
          </cell>
          <cell r="AT9">
            <v>9.1143081614379557</v>
          </cell>
          <cell r="AU9">
            <v>9.190260729449939</v>
          </cell>
          <cell r="AV9">
            <v>9.2668462355286891</v>
          </cell>
          <cell r="AW9">
            <v>9.344069954158094</v>
          </cell>
          <cell r="AX9">
            <v>9.4219372037760785</v>
          </cell>
          <cell r="AY9">
            <v>9.5004533471408799</v>
          </cell>
          <cell r="AZ9">
            <v>9.5796237917003868</v>
          </cell>
          <cell r="BA9">
            <v>9.6594539899645575</v>
          </cell>
          <cell r="BB9">
            <v>9.7399494398809292</v>
          </cell>
          <cell r="BC9">
            <v>9.8211156852132699</v>
          </cell>
          <cell r="BD9">
            <v>9.9029583159233798</v>
          </cell>
          <cell r="BE9">
            <v>9.9854829685560755</v>
          </cell>
          <cell r="BF9">
            <v>10.068695326627376</v>
          </cell>
          <cell r="BG9">
            <v>10.152601121015937</v>
          </cell>
          <cell r="BH9">
            <v>10.237206130357738</v>
          </cell>
          <cell r="BI9">
            <v>10.322516181444051</v>
          </cell>
          <cell r="BJ9">
            <v>10.408537149622752</v>
          </cell>
          <cell r="BK9">
            <v>10.495274959202941</v>
          </cell>
          <cell r="BL9">
            <v>10.582735583862966</v>
          </cell>
          <cell r="BM9">
            <v>10.670925047061825</v>
          </cell>
          <cell r="BN9">
            <v>10.759849422454007</v>
          </cell>
          <cell r="BO9">
            <v>10.84951483430779</v>
          </cell>
          <cell r="BP9">
            <v>10.939927457927022</v>
          </cell>
          <cell r="BQ9">
            <v>11.031093520076414</v>
          </cell>
          <cell r="BR9">
            <v>11.123019299410384</v>
          </cell>
          <cell r="BS9">
            <v>11.21571112690547</v>
          </cell>
          <cell r="BT9">
            <v>11.309175386296349</v>
          </cell>
          <cell r="BU9">
            <v>11.403418514515485</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ow r="6">
          <cell r="B6">
            <v>30.5</v>
          </cell>
        </row>
      </sheetData>
      <sheetData sheetId="53" refreshError="1"/>
      <sheetData sheetId="54" refreshError="1"/>
      <sheetData sheetId="55" refreshError="1"/>
      <sheetData sheetId="56" refreshError="1"/>
      <sheetData sheetId="57"/>
      <sheetData sheetId="58"/>
      <sheetData sheetId="59"/>
      <sheetData sheetId="60"/>
      <sheetData sheetId="61">
        <row r="20">
          <cell r="C20">
            <v>56155.5</v>
          </cell>
        </row>
      </sheetData>
      <sheetData sheetId="62"/>
      <sheetData sheetId="63">
        <row r="6">
          <cell r="B6">
            <v>41183</v>
          </cell>
        </row>
      </sheetData>
      <sheetData sheetId="64"/>
      <sheetData sheetId="65"/>
      <sheetData sheetId="66"/>
      <sheetData sheetId="67"/>
      <sheetData sheetId="68"/>
      <sheetData sheetId="69"/>
      <sheetData sheetId="70"/>
      <sheetData sheetId="71"/>
      <sheetData sheetId="72">
        <row r="6">
          <cell r="B6">
            <v>30.5</v>
          </cell>
        </row>
      </sheetData>
      <sheetData sheetId="73"/>
      <sheetData sheetId="74"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главление"/>
      <sheetName val="Свод на 31.12.15"/>
      <sheetName val="Свод форма (с общепр)"/>
      <sheetName val="Данные по очереди"/>
      <sheetName val="Данные по проекту"/>
      <sheetName val="Бюджет с_ГУ"/>
      <sheetName val="Бюджет б_ГУ"/>
      <sheetName val="17С (2)"/>
      <sheetName val="ГУ"/>
      <sheetName val="1А"/>
      <sheetName val="дем вр огрж"/>
      <sheetName val="вр эл"/>
      <sheetName val="дс Лидер"/>
      <sheetName val="врем водосн"/>
      <sheetName val="ВРЭ"/>
      <sheetName val="дем"/>
      <sheetName val="ПОС"/>
      <sheetName val="1В"/>
      <sheetName val="ДЭС"/>
      <sheetName val="1С"/>
      <sheetName val="Расчет стоимости"/>
      <sheetName val="расчет"/>
      <sheetName val="КБ"/>
      <sheetName val="1D"/>
      <sheetName val="1E"/>
      <sheetName val="обр выкуп"/>
      <sheetName val="шп3"/>
      <sheetName val="шп дс"/>
      <sheetName val="шп"/>
      <sheetName val="Шпунт"/>
      <sheetName val="2A1"/>
      <sheetName val="помпа40Х"/>
      <sheetName val="котлован"/>
      <sheetName val="2A"/>
      <sheetName val="сваинойе поле"/>
      <sheetName val="пробные сваи"/>
      <sheetName val="2B"/>
      <sheetName val="гидроиз"/>
      <sheetName val="гидроиз доп раб"/>
      <sheetName val="ГП авт"/>
      <sheetName val="ГП ж"/>
      <sheetName val="гидроизол"/>
      <sheetName val="2C"/>
      <sheetName val="дс ПСК"/>
      <sheetName val="дс"/>
      <sheetName val="КП авт"/>
      <sheetName val="2D"/>
      <sheetName val="3A"/>
      <sheetName val="мус 2"/>
      <sheetName val="дс 6 ПСК"/>
      <sheetName val="3B"/>
      <sheetName val="5A"/>
      <sheetName val="цены на мат"/>
      <sheetName val="КП ж"/>
      <sheetName val="5B"/>
      <sheetName val="расчет "/>
      <sheetName val="4"/>
      <sheetName val="объемы"/>
      <sheetName val="мат фасад "/>
      <sheetName val="Расчет (авт)"/>
      <sheetName val="Расчет (жилье)"/>
      <sheetName val="Эн 1оч"/>
      <sheetName val="6"/>
      <sheetName val="витражи"/>
      <sheetName val="Расчет на подпись"/>
      <sheetName val="7"/>
      <sheetName val="свод окна"/>
      <sheetName val="перечень окна"/>
      <sheetName val="окна"/>
      <sheetName val="8"/>
      <sheetName val="ворота"/>
      <sheetName val="ворота 1оч"/>
      <sheetName val="тех двери а"/>
      <sheetName val="расчет (2)"/>
      <sheetName val="тех двери ж"/>
      <sheetName val="кв-фия"/>
      <sheetName val="двери"/>
      <sheetName val="9"/>
      <sheetName val="Материалы кр"/>
      <sheetName val="кровля_паркинга"/>
      <sheetName val="кровля"/>
      <sheetName val="10"/>
      <sheetName val="БК"/>
      <sheetName val="БК8пуск"/>
      <sheetName val="11"/>
      <sheetName val="мат сант"/>
      <sheetName val="сантехника"/>
      <sheetName val="рад"/>
      <sheetName val="клапаны"/>
      <sheetName val="ов2"/>
      <sheetName val="ов1"/>
      <sheetName val="ов"/>
      <sheetName val="ов (2)"/>
      <sheetName val="12"/>
      <sheetName val="сс"/>
      <sheetName val="сс3"/>
      <sheetName val="сс2"/>
      <sheetName val="сс1"/>
      <sheetName val="13"/>
      <sheetName val="сравнение сетей"/>
      <sheetName val="14"/>
      <sheetName val="РС_автост№5"/>
      <sheetName val="расценки"/>
      <sheetName val="мат черн"/>
      <sheetName val="Материалы чист"/>
      <sheetName val="расчет отделка"/>
      <sheetName val="мат"/>
      <sheetName val="гр-к"/>
      <sheetName val="котельная"/>
      <sheetName val="15"/>
      <sheetName val="Благоустройство"/>
      <sheetName val="МАФ"/>
      <sheetName val="ограждения"/>
      <sheetName val="16"/>
      <sheetName val="Нагрузки"/>
      <sheetName val="17A"/>
      <sheetName val="дренаж"/>
      <sheetName val="тс Импульс"/>
      <sheetName val="нвк"/>
      <sheetName val="НЭ"/>
      <sheetName val="17B"/>
      <sheetName val="17С"/>
      <sheetName val="Лист1"/>
    </sheetNames>
    <sheetDataSet>
      <sheetData sheetId="0" refreshError="1"/>
      <sheetData sheetId="1" refreshError="1"/>
      <sheetData sheetId="2" refreshError="1"/>
      <sheetData sheetId="3">
        <row r="21">
          <cell r="B21">
            <v>12029</v>
          </cell>
        </row>
        <row r="43">
          <cell r="B43">
            <v>0.02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главление"/>
      <sheetName val="стиль м (2)"/>
      <sheetName val="Свод форма"/>
      <sheetName val="Свод"/>
      <sheetName val="Перечень"/>
      <sheetName val="Бюджет с_ГУ"/>
      <sheetName val="Бюджет б_ГУ"/>
      <sheetName val="Данные по очереди"/>
      <sheetName val="Данные по проекту"/>
      <sheetName val="график"/>
      <sheetName val="ЦП"/>
      <sheetName val="ТЗ"/>
      <sheetName val="1А"/>
      <sheetName val="Лидер ПОС"/>
      <sheetName val="РС ПОС "/>
      <sheetName val="РС ПОС 1"/>
      <sheetName val="1В"/>
      <sheetName val="1С"/>
      <sheetName val="1.1С-не печат"/>
      <sheetName val="фунд под КБ"/>
      <sheetName val="КБ грунт "/>
      <sheetName val="КБ ПСК"/>
      <sheetName val="1D"/>
      <sheetName val="1E"/>
      <sheetName val="Котлов"/>
      <sheetName val="расч"/>
      <sheetName val="2A"/>
      <sheetName val="2B"/>
      <sheetName val="гидроизоляция "/>
      <sheetName val="2C"/>
      <sheetName val="2D"/>
      <sheetName val="3A"/>
      <sheetName val="1"/>
      <sheetName val="Монолит"/>
      <sheetName val="3B"/>
      <sheetName val="металл"/>
      <sheetName val="4"/>
      <sheetName val="Перегородки  "/>
      <sheetName val="5A"/>
      <sheetName val="перегородки"/>
      <sheetName val="5B"/>
      <sheetName val="6"/>
      <sheetName val="Комм пр вит атр"/>
      <sheetName val="Витр"/>
      <sheetName val="7"/>
      <sheetName val="8"/>
      <sheetName val="двери "/>
      <sheetName val="двер"/>
      <sheetName val="9"/>
      <sheetName val="КП"/>
      <sheetName val="козырьки ст"/>
      <sheetName val="Молниезащита"/>
      <sheetName val="10"/>
      <sheetName val="Эск КП"/>
      <sheetName val="Лифты КП"/>
      <sheetName val="Хар-ки лифтов"/>
      <sheetName val="Хар-ки эскалатора"/>
      <sheetName val="Хар-ки подъемника"/>
      <sheetName val="11"/>
      <sheetName val="Хладоснабжение"/>
      <sheetName val="СВОД (2)"/>
      <sheetName val="СВОД Ленинск"/>
      <sheetName val="монт хлад"/>
      <sheetName val="12"/>
      <sheetName val="Слаботочка"/>
      <sheetName val="АУП"/>
      <sheetName val="авт от вент хол"/>
      <sheetName val="13"/>
      <sheetName val="Подсветка фасада"/>
      <sheetName val="Электрика"/>
      <sheetName val="14"/>
      <sheetName val="К-2 на 13 мест "/>
      <sheetName val="Ц-1 на 12 мест "/>
      <sheetName val="расценки-от (2)"/>
      <sheetName val="Стены"/>
      <sheetName val="Полы стены"/>
      <sheetName val="Расчет отделка"/>
      <sheetName val="15"/>
      <sheetName val="посадки-лидер"/>
      <sheetName val="покрытие-лидер"/>
      <sheetName val="МАФы"/>
      <sheetName val="Благоустройство "/>
      <sheetName val="Расчет бл-во"/>
      <sheetName val="16"/>
      <sheetName val="Лист1"/>
      <sheetName val="17A"/>
      <sheetName val="дренаж "/>
      <sheetName val="ТС"/>
      <sheetName val="НВК"/>
      <sheetName val="Дренаж"/>
      <sheetName val="17B"/>
      <sheetName val="стиль_м_(2)"/>
      <sheetName val="Свод_форма"/>
      <sheetName val="Бюджет_с_ГУ"/>
      <sheetName val="Бюджет_б_ГУ"/>
      <sheetName val="Данные_по_очереди"/>
      <sheetName val="Данные_по_проекту"/>
      <sheetName val="Лидер_ПОС"/>
      <sheetName val="РС_ПОС_"/>
      <sheetName val="РС_ПОС_1"/>
      <sheetName val="1_1С-не_печат"/>
      <sheetName val="фунд_под_КБ"/>
      <sheetName val="КБ_грунт_"/>
      <sheetName val="КБ_ПСК"/>
      <sheetName val="гидроизоляция_"/>
      <sheetName val="Перегородки__"/>
      <sheetName val="Комм_пр_вит_атр"/>
      <sheetName val="двери_"/>
      <sheetName val="козырьки_ст"/>
      <sheetName val="Эск_КП"/>
      <sheetName val="Лифты_КП"/>
      <sheetName val="Хар-ки_лифтов"/>
      <sheetName val="Хар-ки_эскалатора"/>
      <sheetName val="Хар-ки_подъемника"/>
      <sheetName val="СВОД_(2)"/>
      <sheetName val="СВОД_Ленинск"/>
      <sheetName val="монт_хлад"/>
      <sheetName val="авт_от_вент_хол"/>
      <sheetName val="Подсветка_фасада"/>
      <sheetName val="К-2_на_13_мест_"/>
      <sheetName val="Ц-1_на_12_мест_"/>
      <sheetName val="расценки-от_(2)"/>
      <sheetName val="Полы_стены"/>
      <sheetName val="Расчет_отделка"/>
      <sheetName val="Благоустройство_"/>
      <sheetName val="Расчет_бл-во"/>
      <sheetName val="дренаж_"/>
      <sheetName val="текущие"/>
      <sheetName val="Предложение на торгах1 ($) (2)"/>
      <sheetName val="прогноз СМР"/>
      <sheetName val="код-зав1-1"/>
      <sheetName val="код-зав2-1"/>
      <sheetName val="код-зав3-2"/>
      <sheetName val="код-зав4-3"/>
      <sheetName val="кодиф 1С"/>
      <sheetName val="объекты"/>
      <sheetName val="объекты учета"/>
      <sheetName val="калькуляция"/>
      <sheetName val="расценки-от"/>
      <sheetName val="s проемов"/>
      <sheetName val="объем встройка (3)"/>
      <sheetName val="объем МОП-дизайн"/>
    </sheetNames>
    <sheetDataSet>
      <sheetData sheetId="0"/>
      <sheetData sheetId="1"/>
      <sheetData sheetId="2"/>
      <sheetData sheetId="3"/>
      <sheetData sheetId="4"/>
      <sheetData sheetId="5"/>
      <sheetData sheetId="6"/>
      <sheetData sheetId="7"/>
      <sheetData sheetId="8">
        <row r="35">
          <cell r="C35">
            <v>0.01</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row r="35">
          <cell r="C35">
            <v>0.01</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sheetData sheetId="140" refreshError="1"/>
      <sheetData sheetId="14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Фактзатр"/>
      <sheetName val="ВДЦ "/>
      <sheetName val="ТЭП"/>
      <sheetName val="Бланк карт "/>
      <sheetName val="ВДЦ_"/>
      <sheetName val="Бланк_карт_"/>
      <sheetName val="объем (2)"/>
      <sheetName val="окна по этажам"/>
      <sheetName val="ЭО (2)"/>
      <sheetName val="двери по этажам"/>
      <sheetName val="расценки-от"/>
      <sheetName val="S проемов"/>
      <sheetName val="расчет"/>
      <sheetName val="Затратный_файл"/>
      <sheetName val="расценки1"/>
      <sheetName val="ВДЦ_1"/>
      <sheetName val="Бланк_карт_1"/>
      <sheetName val="объем_(2)"/>
      <sheetName val="окна_по_этажам"/>
      <sheetName val="ЭО_(2)"/>
      <sheetName val="двери_по_этажам"/>
      <sheetName val="S_проемов"/>
      <sheetName val="ВДЦ_2"/>
      <sheetName val="Бланк_карт_2"/>
      <sheetName val="объем_(2)1"/>
      <sheetName val="окна_по_этажам1"/>
      <sheetName val="ЭО_(2)1"/>
      <sheetName val="двери_по_этажам1"/>
      <sheetName val="S_проемов1"/>
      <sheetName val="РС котлован"/>
      <sheetName val="Лист5"/>
      <sheetName val="Данные по проекту"/>
      <sheetName val="расчет "/>
      <sheetName val="ТЗ_электрика_Адысев (2)"/>
      <sheetName val="Спецификация ПРОЕКТ"/>
      <sheetName val="текущие"/>
    </sheetNames>
    <sheetDataSet>
      <sheetData sheetId="0">
        <row r="1">
          <cell r="A1" t="str">
            <v>ВЕДОМОСТЬ ФАКТИЧЕСКИХ ЗАТРАТ</v>
          </cell>
        </row>
        <row r="2">
          <cell r="A2" t="str">
            <v>на работы по отделке помещений по объекту:</v>
          </cell>
        </row>
        <row r="3">
          <cell r="A3" t="str">
            <v>отделение Партий Единая Россия</v>
          </cell>
        </row>
        <row r="4">
          <cell r="A4" t="str">
            <v>Калининского района</v>
          </cell>
        </row>
        <row r="5">
          <cell r="A5" t="str">
            <v>№</v>
          </cell>
          <cell r="B5" t="str">
            <v>Наименование работ</v>
          </cell>
          <cell r="C5" t="str">
            <v>Ед. изм.</v>
          </cell>
          <cell r="D5" t="str">
            <v>Цена за един.</v>
          </cell>
          <cell r="E5" t="str">
            <v>Кол-во по норме</v>
          </cell>
          <cell r="F5" t="str">
            <v>ИТОГО</v>
          </cell>
          <cell r="I5" t="str">
            <v>август</v>
          </cell>
          <cell r="Q5" t="str">
            <v xml:space="preserve"> </v>
          </cell>
          <cell r="V5" t="str">
            <v xml:space="preserve"> </v>
          </cell>
          <cell r="AA5" t="str">
            <v xml:space="preserve"> </v>
          </cell>
        </row>
        <row r="6">
          <cell r="G6" t="str">
            <v>кол-во мат-в</v>
          </cell>
          <cell r="H6" t="str">
            <v>ст-ть мат-в</v>
          </cell>
          <cell r="J6" t="str">
            <v>трансп.</v>
          </cell>
          <cell r="K6" t="str">
            <v>механ.</v>
          </cell>
          <cell r="L6" t="str">
            <v>кол-во мат-в</v>
          </cell>
          <cell r="M6" t="str">
            <v>ст-ть мат-в</v>
          </cell>
          <cell r="O6" t="str">
            <v>трансп.</v>
          </cell>
          <cell r="P6" t="str">
            <v>механ.</v>
          </cell>
          <cell r="Q6" t="str">
            <v>кол-во мат-в</v>
          </cell>
          <cell r="R6" t="str">
            <v>ст-ть мат-в</v>
          </cell>
          <cell r="T6" t="str">
            <v>трансп.</v>
          </cell>
          <cell r="U6" t="str">
            <v>механ.</v>
          </cell>
          <cell r="V6" t="str">
            <v>кол-во мат-в</v>
          </cell>
          <cell r="W6" t="str">
            <v>ст-ть мат-в</v>
          </cell>
          <cell r="Y6" t="str">
            <v>трансп.</v>
          </cell>
          <cell r="Z6" t="str">
            <v>механ.</v>
          </cell>
          <cell r="AA6" t="str">
            <v>кол-во мат-в</v>
          </cell>
          <cell r="AB6" t="str">
            <v>ст-ть мат-в</v>
          </cell>
          <cell r="AD6" t="str">
            <v>трансп.</v>
          </cell>
          <cell r="AE6" t="str">
            <v>механ.</v>
          </cell>
        </row>
        <row r="7">
          <cell r="H7" t="str">
            <v>ед.</v>
          </cell>
          <cell r="I7" t="str">
            <v>всего</v>
          </cell>
          <cell r="M7" t="str">
            <v>ед.</v>
          </cell>
          <cell r="N7" t="str">
            <v>всего</v>
          </cell>
          <cell r="R7" t="str">
            <v>ед.</v>
          </cell>
          <cell r="S7" t="str">
            <v>всего</v>
          </cell>
          <cell r="W7" t="str">
            <v>ед.</v>
          </cell>
          <cell r="X7" t="str">
            <v>всего</v>
          </cell>
          <cell r="AB7" t="str">
            <v>ед.</v>
          </cell>
          <cell r="AC7" t="str">
            <v>всего</v>
          </cell>
        </row>
        <row r="9">
          <cell r="A9">
            <v>1</v>
          </cell>
          <cell r="B9" t="str">
            <v>замок</v>
          </cell>
          <cell r="C9" t="str">
            <v>к-т</v>
          </cell>
        </row>
        <row r="10">
          <cell r="A10">
            <v>2</v>
          </cell>
          <cell r="B10" t="str">
            <v>изолента</v>
          </cell>
          <cell r="C10" t="str">
            <v>шт</v>
          </cell>
        </row>
        <row r="11">
          <cell r="A11">
            <v>3</v>
          </cell>
          <cell r="B11" t="str">
            <v>клей для финтекса</v>
          </cell>
          <cell r="C11" t="str">
            <v>кг</v>
          </cell>
        </row>
        <row r="12">
          <cell r="A12">
            <v>4</v>
          </cell>
          <cell r="B12" t="str">
            <v>краска масляная</v>
          </cell>
          <cell r="C12" t="str">
            <v>кг</v>
          </cell>
        </row>
        <row r="13">
          <cell r="A13">
            <v>5</v>
          </cell>
          <cell r="B13" t="str">
            <v>краска ПВА</v>
          </cell>
          <cell r="C13" t="str">
            <v>кг</v>
          </cell>
        </row>
        <row r="14">
          <cell r="A14">
            <v>6</v>
          </cell>
          <cell r="B14" t="str">
            <v>лампа ЛБ40</v>
          </cell>
          <cell r="C14" t="str">
            <v>шт</v>
          </cell>
        </row>
        <row r="15">
          <cell r="A15">
            <v>7</v>
          </cell>
          <cell r="B15" t="str">
            <v>наждачная бумага</v>
          </cell>
          <cell r="C15" t="str">
            <v>м2</v>
          </cell>
        </row>
        <row r="16">
          <cell r="A16">
            <v>8</v>
          </cell>
          <cell r="B16" t="str">
            <v>олифа</v>
          </cell>
          <cell r="C16" t="str">
            <v>кг</v>
          </cell>
        </row>
        <row r="17">
          <cell r="A17">
            <v>9</v>
          </cell>
          <cell r="B17" t="str">
            <v>стартер</v>
          </cell>
          <cell r="C17" t="str">
            <v>шт</v>
          </cell>
        </row>
        <row r="18">
          <cell r="A18">
            <v>10</v>
          </cell>
          <cell r="B18" t="str">
            <v>финтекс</v>
          </cell>
          <cell r="C18" t="str">
            <v>м2</v>
          </cell>
        </row>
        <row r="19">
          <cell r="A19">
            <v>11</v>
          </cell>
          <cell r="B19" t="str">
            <v>шпатлевка масляная</v>
          </cell>
          <cell r="C19" t="str">
            <v>кг</v>
          </cell>
        </row>
        <row r="21">
          <cell r="B21" t="str">
            <v>Итого</v>
          </cell>
        </row>
        <row r="22">
          <cell r="B22" t="str">
            <v>Заработная плата</v>
          </cell>
        </row>
        <row r="24">
          <cell r="B24" t="str">
            <v>Фактические затраты</v>
          </cell>
        </row>
        <row r="25">
          <cell r="B25" t="str">
            <v>заработная плата</v>
          </cell>
        </row>
        <row r="26">
          <cell r="B26" t="str">
            <v>материалы</v>
          </cell>
        </row>
        <row r="27">
          <cell r="B27" t="str">
            <v>транспорт и механизмы</v>
          </cell>
        </row>
        <row r="29">
          <cell r="B29" t="str">
            <v>Итого</v>
          </cell>
        </row>
      </sheetData>
      <sheetData sheetId="1">
        <row r="1">
          <cell r="A1" t="str">
            <v>ВЕДОМОСТЬ ФАКТИЧЕСКИХ ЗАТРАТ</v>
          </cell>
        </row>
      </sheetData>
      <sheetData sheetId="2">
        <row r="1">
          <cell r="A1" t="str">
            <v>ВЕДОМОСТЬ ФАКТИЧЕСКИХ ЗАТРАТ</v>
          </cell>
        </row>
      </sheetData>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ow r="1">
          <cell r="A1" t="str">
            <v>ВЕДОМОСТЬ ФАКТИЧЕСКИХ ЗАТРАТ</v>
          </cell>
        </row>
      </sheetData>
      <sheetData sheetId="16">
        <row r="1">
          <cell r="A1" t="str">
            <v>ВЕДОМОСТЬ ФАКТИЧЕСКИХ ЗАТРАТ</v>
          </cell>
        </row>
      </sheetData>
      <sheetData sheetId="17">
        <row r="1">
          <cell r="A1" t="str">
            <v>ВЕДОМОСТЬ ФАКТИЧЕСКИХ ЗАТРАТ</v>
          </cell>
        </row>
      </sheetData>
      <sheetData sheetId="18">
        <row r="1">
          <cell r="A1" t="str">
            <v>ВЕДОМОСТЬ ФАКТИЧЕСКИХ ЗАТРАТ</v>
          </cell>
        </row>
      </sheetData>
      <sheetData sheetId="19">
        <row r="1">
          <cell r="A1" t="str">
            <v>ВЕДОМОСТЬ ФАКТИЧЕСКИХ ЗАТРАТ</v>
          </cell>
        </row>
      </sheetData>
      <sheetData sheetId="20">
        <row r="1">
          <cell r="A1" t="str">
            <v>ВЕДОМОСТЬ ФАКТИЧЕСКИХ ЗАТРАТ</v>
          </cell>
        </row>
      </sheetData>
      <sheetData sheetId="21">
        <row r="1">
          <cell r="A1" t="str">
            <v>ВЕДОМОСТЬ ФАКТИЧЕСКИХ ЗАТРАТ</v>
          </cell>
        </row>
      </sheetData>
      <sheetData sheetId="22">
        <row r="1">
          <cell r="A1" t="str">
            <v>ВЕДОМОСТЬ ФАКТИЧЕСКИХ ЗАТРАТ</v>
          </cell>
        </row>
      </sheetData>
      <sheetData sheetId="23">
        <row r="1">
          <cell r="A1" t="str">
            <v>ВЕДОМОСТЬ ФАКТИЧЕСКИХ ЗАТРАТ</v>
          </cell>
        </row>
      </sheetData>
      <sheetData sheetId="24">
        <row r="1">
          <cell r="A1" t="str">
            <v>ВЕДОМОСТЬ ФАКТИЧЕСКИХ ЗАТРАТ</v>
          </cell>
        </row>
      </sheetData>
      <sheetData sheetId="25">
        <row r="1">
          <cell r="A1" t="str">
            <v>ВЕДОМОСТЬ ФАКТИЧЕСКИХ ЗАТРАТ</v>
          </cell>
        </row>
      </sheetData>
      <sheetData sheetId="26">
        <row r="1">
          <cell r="A1" t="str">
            <v>ВЕДОМОСТЬ ФАКТИЧЕСКИХ ЗАТРАТ</v>
          </cell>
        </row>
      </sheetData>
      <sheetData sheetId="27"/>
      <sheetData sheetId="28"/>
      <sheetData sheetId="29">
        <row r="1">
          <cell r="A1" t="str">
            <v>ВЕДОМОСТЬ ФАКТИЧЕСКИХ ЗАТРАТ</v>
          </cell>
        </row>
      </sheetData>
      <sheetData sheetId="30"/>
      <sheetData sheetId="31" refreshError="1"/>
      <sheetData sheetId="32" refreshError="1"/>
      <sheetData sheetId="33" refreshError="1"/>
      <sheetData sheetId="34" refreshError="1"/>
      <sheetData sheetId="3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52"/>
  <sheetViews>
    <sheetView tabSelected="1" view="pageBreakPreview" topLeftCell="A73" zoomScale="80" zoomScaleNormal="70" zoomScaleSheetLayoutView="80" workbookViewId="0">
      <selection activeCell="B76" sqref="B76:U76"/>
    </sheetView>
  </sheetViews>
  <sheetFormatPr defaultColWidth="9" defaultRowHeight="15" outlineLevelCol="1" x14ac:dyDescent="0.25"/>
  <cols>
    <col min="1" max="1" width="8.7109375" style="34" customWidth="1"/>
    <col min="2" max="2" width="13.5703125" style="34" customWidth="1"/>
    <col min="3" max="3" width="85" style="50" customWidth="1"/>
    <col min="4" max="4" width="7.7109375" style="45" customWidth="1"/>
    <col min="5" max="13" width="10.7109375" style="45" hidden="1" customWidth="1" outlineLevel="1"/>
    <col min="14" max="14" width="12.7109375" style="45" customWidth="1" collapsed="1"/>
    <col min="15" max="15" width="16" style="46" customWidth="1"/>
    <col min="16" max="16" width="15.85546875" style="47" customWidth="1"/>
    <col min="17" max="17" width="18.85546875" style="48" customWidth="1"/>
    <col min="18" max="18" width="17.5703125" style="48" customWidth="1"/>
    <col min="19" max="19" width="18.28515625" style="48" customWidth="1"/>
    <col min="20" max="20" width="19.85546875" style="49" customWidth="1"/>
    <col min="21" max="21" width="41.7109375" style="34" customWidth="1"/>
    <col min="22" max="22" width="9.85546875" style="34" customWidth="1"/>
    <col min="23" max="23" width="103.42578125" style="132" customWidth="1"/>
    <col min="24" max="232" width="9" style="34"/>
    <col min="233" max="233" width="3.85546875" style="34" customWidth="1"/>
    <col min="234" max="234" width="78.5703125" style="34" customWidth="1"/>
    <col min="235" max="235" width="6.28515625" style="34" customWidth="1"/>
    <col min="236" max="237" width="8.7109375" style="34" customWidth="1"/>
    <col min="238" max="238" width="9.140625" style="34" customWidth="1"/>
    <col min="239" max="239" width="8.5703125" style="34" customWidth="1"/>
    <col min="240" max="241" width="9.42578125" style="34" customWidth="1"/>
    <col min="242" max="242" width="10" style="34" customWidth="1"/>
    <col min="243" max="488" width="9" style="34"/>
    <col min="489" max="489" width="3.85546875" style="34" customWidth="1"/>
    <col min="490" max="490" width="78.5703125" style="34" customWidth="1"/>
    <col min="491" max="491" width="6.28515625" style="34" customWidth="1"/>
    <col min="492" max="493" width="8.7109375" style="34" customWidth="1"/>
    <col min="494" max="494" width="9.140625" style="34" customWidth="1"/>
    <col min="495" max="495" width="8.5703125" style="34" customWidth="1"/>
    <col min="496" max="497" width="9.42578125" style="34" customWidth="1"/>
    <col min="498" max="498" width="10" style="34" customWidth="1"/>
    <col min="499" max="744" width="9" style="34"/>
    <col min="745" max="745" width="3.85546875" style="34" customWidth="1"/>
    <col min="746" max="746" width="78.5703125" style="34" customWidth="1"/>
    <col min="747" max="747" width="6.28515625" style="34" customWidth="1"/>
    <col min="748" max="749" width="8.7109375" style="34" customWidth="1"/>
    <col min="750" max="750" width="9.140625" style="34" customWidth="1"/>
    <col min="751" max="751" width="8.5703125" style="34" customWidth="1"/>
    <col min="752" max="753" width="9.42578125" style="34" customWidth="1"/>
    <col min="754" max="754" width="10" style="34" customWidth="1"/>
    <col min="755" max="1000" width="9" style="34"/>
    <col min="1001" max="1001" width="3.85546875" style="34" customWidth="1"/>
    <col min="1002" max="1002" width="78.5703125" style="34" customWidth="1"/>
    <col min="1003" max="1003" width="6.28515625" style="34" customWidth="1"/>
    <col min="1004" max="1005" width="8.7109375" style="34" customWidth="1"/>
    <col min="1006" max="1006" width="9.140625" style="34" customWidth="1"/>
    <col min="1007" max="1007" width="8.5703125" style="34" customWidth="1"/>
    <col min="1008" max="1009" width="9.42578125" style="34" customWidth="1"/>
    <col min="1010" max="1010" width="10" style="34" customWidth="1"/>
    <col min="1011" max="1256" width="9" style="34"/>
    <col min="1257" max="1257" width="3.85546875" style="34" customWidth="1"/>
    <col min="1258" max="1258" width="78.5703125" style="34" customWidth="1"/>
    <col min="1259" max="1259" width="6.28515625" style="34" customWidth="1"/>
    <col min="1260" max="1261" width="8.7109375" style="34" customWidth="1"/>
    <col min="1262" max="1262" width="9.140625" style="34" customWidth="1"/>
    <col min="1263" max="1263" width="8.5703125" style="34" customWidth="1"/>
    <col min="1264" max="1265" width="9.42578125" style="34" customWidth="1"/>
    <col min="1266" max="1266" width="10" style="34" customWidth="1"/>
    <col min="1267" max="1512" width="9" style="34"/>
    <col min="1513" max="1513" width="3.85546875" style="34" customWidth="1"/>
    <col min="1514" max="1514" width="78.5703125" style="34" customWidth="1"/>
    <col min="1515" max="1515" width="6.28515625" style="34" customWidth="1"/>
    <col min="1516" max="1517" width="8.7109375" style="34" customWidth="1"/>
    <col min="1518" max="1518" width="9.140625" style="34" customWidth="1"/>
    <col min="1519" max="1519" width="8.5703125" style="34" customWidth="1"/>
    <col min="1520" max="1521" width="9.42578125" style="34" customWidth="1"/>
    <col min="1522" max="1522" width="10" style="34" customWidth="1"/>
    <col min="1523" max="1768" width="9" style="34"/>
    <col min="1769" max="1769" width="3.85546875" style="34" customWidth="1"/>
    <col min="1770" max="1770" width="78.5703125" style="34" customWidth="1"/>
    <col min="1771" max="1771" width="6.28515625" style="34" customWidth="1"/>
    <col min="1772" max="1773" width="8.7109375" style="34" customWidth="1"/>
    <col min="1774" max="1774" width="9.140625" style="34" customWidth="1"/>
    <col min="1775" max="1775" width="8.5703125" style="34" customWidth="1"/>
    <col min="1776" max="1777" width="9.42578125" style="34" customWidth="1"/>
    <col min="1778" max="1778" width="10" style="34" customWidth="1"/>
    <col min="1779" max="2024" width="9" style="34"/>
    <col min="2025" max="2025" width="3.85546875" style="34" customWidth="1"/>
    <col min="2026" max="2026" width="78.5703125" style="34" customWidth="1"/>
    <col min="2027" max="2027" width="6.28515625" style="34" customWidth="1"/>
    <col min="2028" max="2029" width="8.7109375" style="34" customWidth="1"/>
    <col min="2030" max="2030" width="9.140625" style="34" customWidth="1"/>
    <col min="2031" max="2031" width="8.5703125" style="34" customWidth="1"/>
    <col min="2032" max="2033" width="9.42578125" style="34" customWidth="1"/>
    <col min="2034" max="2034" width="10" style="34" customWidth="1"/>
    <col min="2035" max="2280" width="9" style="34"/>
    <col min="2281" max="2281" width="3.85546875" style="34" customWidth="1"/>
    <col min="2282" max="2282" width="78.5703125" style="34" customWidth="1"/>
    <col min="2283" max="2283" width="6.28515625" style="34" customWidth="1"/>
    <col min="2284" max="2285" width="8.7109375" style="34" customWidth="1"/>
    <col min="2286" max="2286" width="9.140625" style="34" customWidth="1"/>
    <col min="2287" max="2287" width="8.5703125" style="34" customWidth="1"/>
    <col min="2288" max="2289" width="9.42578125" style="34" customWidth="1"/>
    <col min="2290" max="2290" width="10" style="34" customWidth="1"/>
    <col min="2291" max="2536" width="9" style="34"/>
    <col min="2537" max="2537" width="3.85546875" style="34" customWidth="1"/>
    <col min="2538" max="2538" width="78.5703125" style="34" customWidth="1"/>
    <col min="2539" max="2539" width="6.28515625" style="34" customWidth="1"/>
    <col min="2540" max="2541" width="8.7109375" style="34" customWidth="1"/>
    <col min="2542" max="2542" width="9.140625" style="34" customWidth="1"/>
    <col min="2543" max="2543" width="8.5703125" style="34" customWidth="1"/>
    <col min="2544" max="2545" width="9.42578125" style="34" customWidth="1"/>
    <col min="2546" max="2546" width="10" style="34" customWidth="1"/>
    <col min="2547" max="2792" width="9" style="34"/>
    <col min="2793" max="2793" width="3.85546875" style="34" customWidth="1"/>
    <col min="2794" max="2794" width="78.5703125" style="34" customWidth="1"/>
    <col min="2795" max="2795" width="6.28515625" style="34" customWidth="1"/>
    <col min="2796" max="2797" width="8.7109375" style="34" customWidth="1"/>
    <col min="2798" max="2798" width="9.140625" style="34" customWidth="1"/>
    <col min="2799" max="2799" width="8.5703125" style="34" customWidth="1"/>
    <col min="2800" max="2801" width="9.42578125" style="34" customWidth="1"/>
    <col min="2802" max="2802" width="10" style="34" customWidth="1"/>
    <col min="2803" max="3048" width="9" style="34"/>
    <col min="3049" max="3049" width="3.85546875" style="34" customWidth="1"/>
    <col min="3050" max="3050" width="78.5703125" style="34" customWidth="1"/>
    <col min="3051" max="3051" width="6.28515625" style="34" customWidth="1"/>
    <col min="3052" max="3053" width="8.7109375" style="34" customWidth="1"/>
    <col min="3054" max="3054" width="9.140625" style="34" customWidth="1"/>
    <col min="3055" max="3055" width="8.5703125" style="34" customWidth="1"/>
    <col min="3056" max="3057" width="9.42578125" style="34" customWidth="1"/>
    <col min="3058" max="3058" width="10" style="34" customWidth="1"/>
    <col min="3059" max="3304" width="9" style="34"/>
    <col min="3305" max="3305" width="3.85546875" style="34" customWidth="1"/>
    <col min="3306" max="3306" width="78.5703125" style="34" customWidth="1"/>
    <col min="3307" max="3307" width="6.28515625" style="34" customWidth="1"/>
    <col min="3308" max="3309" width="8.7109375" style="34" customWidth="1"/>
    <col min="3310" max="3310" width="9.140625" style="34" customWidth="1"/>
    <col min="3311" max="3311" width="8.5703125" style="34" customWidth="1"/>
    <col min="3312" max="3313" width="9.42578125" style="34" customWidth="1"/>
    <col min="3314" max="3314" width="10" style="34" customWidth="1"/>
    <col min="3315" max="3560" width="9" style="34"/>
    <col min="3561" max="3561" width="3.85546875" style="34" customWidth="1"/>
    <col min="3562" max="3562" width="78.5703125" style="34" customWidth="1"/>
    <col min="3563" max="3563" width="6.28515625" style="34" customWidth="1"/>
    <col min="3564" max="3565" width="8.7109375" style="34" customWidth="1"/>
    <col min="3566" max="3566" width="9.140625" style="34" customWidth="1"/>
    <col min="3567" max="3567" width="8.5703125" style="34" customWidth="1"/>
    <col min="3568" max="3569" width="9.42578125" style="34" customWidth="1"/>
    <col min="3570" max="3570" width="10" style="34" customWidth="1"/>
    <col min="3571" max="3816" width="9" style="34"/>
    <col min="3817" max="3817" width="3.85546875" style="34" customWidth="1"/>
    <col min="3818" max="3818" width="78.5703125" style="34" customWidth="1"/>
    <col min="3819" max="3819" width="6.28515625" style="34" customWidth="1"/>
    <col min="3820" max="3821" width="8.7109375" style="34" customWidth="1"/>
    <col min="3822" max="3822" width="9.140625" style="34" customWidth="1"/>
    <col min="3823" max="3823" width="8.5703125" style="34" customWidth="1"/>
    <col min="3824" max="3825" width="9.42578125" style="34" customWidth="1"/>
    <col min="3826" max="3826" width="10" style="34" customWidth="1"/>
    <col min="3827" max="4072" width="9" style="34"/>
    <col min="4073" max="4073" width="3.85546875" style="34" customWidth="1"/>
    <col min="4074" max="4074" width="78.5703125" style="34" customWidth="1"/>
    <col min="4075" max="4075" width="6.28515625" style="34" customWidth="1"/>
    <col min="4076" max="4077" width="8.7109375" style="34" customWidth="1"/>
    <col min="4078" max="4078" width="9.140625" style="34" customWidth="1"/>
    <col min="4079" max="4079" width="8.5703125" style="34" customWidth="1"/>
    <col min="4080" max="4081" width="9.42578125" style="34" customWidth="1"/>
    <col min="4082" max="4082" width="10" style="34" customWidth="1"/>
    <col min="4083" max="4328" width="9" style="34"/>
    <col min="4329" max="4329" width="3.85546875" style="34" customWidth="1"/>
    <col min="4330" max="4330" width="78.5703125" style="34" customWidth="1"/>
    <col min="4331" max="4331" width="6.28515625" style="34" customWidth="1"/>
    <col min="4332" max="4333" width="8.7109375" style="34" customWidth="1"/>
    <col min="4334" max="4334" width="9.140625" style="34" customWidth="1"/>
    <col min="4335" max="4335" width="8.5703125" style="34" customWidth="1"/>
    <col min="4336" max="4337" width="9.42578125" style="34" customWidth="1"/>
    <col min="4338" max="4338" width="10" style="34" customWidth="1"/>
    <col min="4339" max="4584" width="9" style="34"/>
    <col min="4585" max="4585" width="3.85546875" style="34" customWidth="1"/>
    <col min="4586" max="4586" width="78.5703125" style="34" customWidth="1"/>
    <col min="4587" max="4587" width="6.28515625" style="34" customWidth="1"/>
    <col min="4588" max="4589" width="8.7109375" style="34" customWidth="1"/>
    <col min="4590" max="4590" width="9.140625" style="34" customWidth="1"/>
    <col min="4591" max="4591" width="8.5703125" style="34" customWidth="1"/>
    <col min="4592" max="4593" width="9.42578125" style="34" customWidth="1"/>
    <col min="4594" max="4594" width="10" style="34" customWidth="1"/>
    <col min="4595" max="4840" width="9" style="34"/>
    <col min="4841" max="4841" width="3.85546875" style="34" customWidth="1"/>
    <col min="4842" max="4842" width="78.5703125" style="34" customWidth="1"/>
    <col min="4843" max="4843" width="6.28515625" style="34" customWidth="1"/>
    <col min="4844" max="4845" width="8.7109375" style="34" customWidth="1"/>
    <col min="4846" max="4846" width="9.140625" style="34" customWidth="1"/>
    <col min="4847" max="4847" width="8.5703125" style="34" customWidth="1"/>
    <col min="4848" max="4849" width="9.42578125" style="34" customWidth="1"/>
    <col min="4850" max="4850" width="10" style="34" customWidth="1"/>
    <col min="4851" max="5096" width="9" style="34"/>
    <col min="5097" max="5097" width="3.85546875" style="34" customWidth="1"/>
    <col min="5098" max="5098" width="78.5703125" style="34" customWidth="1"/>
    <col min="5099" max="5099" width="6.28515625" style="34" customWidth="1"/>
    <col min="5100" max="5101" width="8.7109375" style="34" customWidth="1"/>
    <col min="5102" max="5102" width="9.140625" style="34" customWidth="1"/>
    <col min="5103" max="5103" width="8.5703125" style="34" customWidth="1"/>
    <col min="5104" max="5105" width="9.42578125" style="34" customWidth="1"/>
    <col min="5106" max="5106" width="10" style="34" customWidth="1"/>
    <col min="5107" max="5352" width="9" style="34"/>
    <col min="5353" max="5353" width="3.85546875" style="34" customWidth="1"/>
    <col min="5354" max="5354" width="78.5703125" style="34" customWidth="1"/>
    <col min="5355" max="5355" width="6.28515625" style="34" customWidth="1"/>
    <col min="5356" max="5357" width="8.7109375" style="34" customWidth="1"/>
    <col min="5358" max="5358" width="9.140625" style="34" customWidth="1"/>
    <col min="5359" max="5359" width="8.5703125" style="34" customWidth="1"/>
    <col min="5360" max="5361" width="9.42578125" style="34" customWidth="1"/>
    <col min="5362" max="5362" width="10" style="34" customWidth="1"/>
    <col min="5363" max="5608" width="9" style="34"/>
    <col min="5609" max="5609" width="3.85546875" style="34" customWidth="1"/>
    <col min="5610" max="5610" width="78.5703125" style="34" customWidth="1"/>
    <col min="5611" max="5611" width="6.28515625" style="34" customWidth="1"/>
    <col min="5612" max="5613" width="8.7109375" style="34" customWidth="1"/>
    <col min="5614" max="5614" width="9.140625" style="34" customWidth="1"/>
    <col min="5615" max="5615" width="8.5703125" style="34" customWidth="1"/>
    <col min="5616" max="5617" width="9.42578125" style="34" customWidth="1"/>
    <col min="5618" max="5618" width="10" style="34" customWidth="1"/>
    <col min="5619" max="5864" width="9" style="34"/>
    <col min="5865" max="5865" width="3.85546875" style="34" customWidth="1"/>
    <col min="5866" max="5866" width="78.5703125" style="34" customWidth="1"/>
    <col min="5867" max="5867" width="6.28515625" style="34" customWidth="1"/>
    <col min="5868" max="5869" width="8.7109375" style="34" customWidth="1"/>
    <col min="5870" max="5870" width="9.140625" style="34" customWidth="1"/>
    <col min="5871" max="5871" width="8.5703125" style="34" customWidth="1"/>
    <col min="5872" max="5873" width="9.42578125" style="34" customWidth="1"/>
    <col min="5874" max="5874" width="10" style="34" customWidth="1"/>
    <col min="5875" max="6120" width="9" style="34"/>
    <col min="6121" max="6121" width="3.85546875" style="34" customWidth="1"/>
    <col min="6122" max="6122" width="78.5703125" style="34" customWidth="1"/>
    <col min="6123" max="6123" width="6.28515625" style="34" customWidth="1"/>
    <col min="6124" max="6125" width="8.7109375" style="34" customWidth="1"/>
    <col min="6126" max="6126" width="9.140625" style="34" customWidth="1"/>
    <col min="6127" max="6127" width="8.5703125" style="34" customWidth="1"/>
    <col min="6128" max="6129" width="9.42578125" style="34" customWidth="1"/>
    <col min="6130" max="6130" width="10" style="34" customWidth="1"/>
    <col min="6131" max="6376" width="9" style="34"/>
    <col min="6377" max="6377" width="3.85546875" style="34" customWidth="1"/>
    <col min="6378" max="6378" width="78.5703125" style="34" customWidth="1"/>
    <col min="6379" max="6379" width="6.28515625" style="34" customWidth="1"/>
    <col min="6380" max="6381" width="8.7109375" style="34" customWidth="1"/>
    <col min="6382" max="6382" width="9.140625" style="34" customWidth="1"/>
    <col min="6383" max="6383" width="8.5703125" style="34" customWidth="1"/>
    <col min="6384" max="6385" width="9.42578125" style="34" customWidth="1"/>
    <col min="6386" max="6386" width="10" style="34" customWidth="1"/>
    <col min="6387" max="6632" width="9" style="34"/>
    <col min="6633" max="6633" width="3.85546875" style="34" customWidth="1"/>
    <col min="6634" max="6634" width="78.5703125" style="34" customWidth="1"/>
    <col min="6635" max="6635" width="6.28515625" style="34" customWidth="1"/>
    <col min="6636" max="6637" width="8.7109375" style="34" customWidth="1"/>
    <col min="6638" max="6638" width="9.140625" style="34" customWidth="1"/>
    <col min="6639" max="6639" width="8.5703125" style="34" customWidth="1"/>
    <col min="6640" max="6641" width="9.42578125" style="34" customWidth="1"/>
    <col min="6642" max="6642" width="10" style="34" customWidth="1"/>
    <col min="6643" max="6888" width="9" style="34"/>
    <col min="6889" max="6889" width="3.85546875" style="34" customWidth="1"/>
    <col min="6890" max="6890" width="78.5703125" style="34" customWidth="1"/>
    <col min="6891" max="6891" width="6.28515625" style="34" customWidth="1"/>
    <col min="6892" max="6893" width="8.7109375" style="34" customWidth="1"/>
    <col min="6894" max="6894" width="9.140625" style="34" customWidth="1"/>
    <col min="6895" max="6895" width="8.5703125" style="34" customWidth="1"/>
    <col min="6896" max="6897" width="9.42578125" style="34" customWidth="1"/>
    <col min="6898" max="6898" width="10" style="34" customWidth="1"/>
    <col min="6899" max="7144" width="9" style="34"/>
    <col min="7145" max="7145" width="3.85546875" style="34" customWidth="1"/>
    <col min="7146" max="7146" width="78.5703125" style="34" customWidth="1"/>
    <col min="7147" max="7147" width="6.28515625" style="34" customWidth="1"/>
    <col min="7148" max="7149" width="8.7109375" style="34" customWidth="1"/>
    <col min="7150" max="7150" width="9.140625" style="34" customWidth="1"/>
    <col min="7151" max="7151" width="8.5703125" style="34" customWidth="1"/>
    <col min="7152" max="7153" width="9.42578125" style="34" customWidth="1"/>
    <col min="7154" max="7154" width="10" style="34" customWidth="1"/>
    <col min="7155" max="7400" width="9" style="34"/>
    <col min="7401" max="7401" width="3.85546875" style="34" customWidth="1"/>
    <col min="7402" max="7402" width="78.5703125" style="34" customWidth="1"/>
    <col min="7403" max="7403" width="6.28515625" style="34" customWidth="1"/>
    <col min="7404" max="7405" width="8.7109375" style="34" customWidth="1"/>
    <col min="7406" max="7406" width="9.140625" style="34" customWidth="1"/>
    <col min="7407" max="7407" width="8.5703125" style="34" customWidth="1"/>
    <col min="7408" max="7409" width="9.42578125" style="34" customWidth="1"/>
    <col min="7410" max="7410" width="10" style="34" customWidth="1"/>
    <col min="7411" max="7656" width="9" style="34"/>
    <col min="7657" max="7657" width="3.85546875" style="34" customWidth="1"/>
    <col min="7658" max="7658" width="78.5703125" style="34" customWidth="1"/>
    <col min="7659" max="7659" width="6.28515625" style="34" customWidth="1"/>
    <col min="7660" max="7661" width="8.7109375" style="34" customWidth="1"/>
    <col min="7662" max="7662" width="9.140625" style="34" customWidth="1"/>
    <col min="7663" max="7663" width="8.5703125" style="34" customWidth="1"/>
    <col min="7664" max="7665" width="9.42578125" style="34" customWidth="1"/>
    <col min="7666" max="7666" width="10" style="34" customWidth="1"/>
    <col min="7667" max="7912" width="9" style="34"/>
    <col min="7913" max="7913" width="3.85546875" style="34" customWidth="1"/>
    <col min="7914" max="7914" width="78.5703125" style="34" customWidth="1"/>
    <col min="7915" max="7915" width="6.28515625" style="34" customWidth="1"/>
    <col min="7916" max="7917" width="8.7109375" style="34" customWidth="1"/>
    <col min="7918" max="7918" width="9.140625" style="34" customWidth="1"/>
    <col min="7919" max="7919" width="8.5703125" style="34" customWidth="1"/>
    <col min="7920" max="7921" width="9.42578125" style="34" customWidth="1"/>
    <col min="7922" max="7922" width="10" style="34" customWidth="1"/>
    <col min="7923" max="8168" width="9" style="34"/>
    <col min="8169" max="8169" width="3.85546875" style="34" customWidth="1"/>
    <col min="8170" max="8170" width="78.5703125" style="34" customWidth="1"/>
    <col min="8171" max="8171" width="6.28515625" style="34" customWidth="1"/>
    <col min="8172" max="8173" width="8.7109375" style="34" customWidth="1"/>
    <col min="8174" max="8174" width="9.140625" style="34" customWidth="1"/>
    <col min="8175" max="8175" width="8.5703125" style="34" customWidth="1"/>
    <col min="8176" max="8177" width="9.42578125" style="34" customWidth="1"/>
    <col min="8178" max="8178" width="10" style="34" customWidth="1"/>
    <col min="8179" max="8424" width="9" style="34"/>
    <col min="8425" max="8425" width="3.85546875" style="34" customWidth="1"/>
    <col min="8426" max="8426" width="78.5703125" style="34" customWidth="1"/>
    <col min="8427" max="8427" width="6.28515625" style="34" customWidth="1"/>
    <col min="8428" max="8429" width="8.7109375" style="34" customWidth="1"/>
    <col min="8430" max="8430" width="9.140625" style="34" customWidth="1"/>
    <col min="8431" max="8431" width="8.5703125" style="34" customWidth="1"/>
    <col min="8432" max="8433" width="9.42578125" style="34" customWidth="1"/>
    <col min="8434" max="8434" width="10" style="34" customWidth="1"/>
    <col min="8435" max="8680" width="9" style="34"/>
    <col min="8681" max="8681" width="3.85546875" style="34" customWidth="1"/>
    <col min="8682" max="8682" width="78.5703125" style="34" customWidth="1"/>
    <col min="8683" max="8683" width="6.28515625" style="34" customWidth="1"/>
    <col min="8684" max="8685" width="8.7109375" style="34" customWidth="1"/>
    <col min="8686" max="8686" width="9.140625" style="34" customWidth="1"/>
    <col min="8687" max="8687" width="8.5703125" style="34" customWidth="1"/>
    <col min="8688" max="8689" width="9.42578125" style="34" customWidth="1"/>
    <col min="8690" max="8690" width="10" style="34" customWidth="1"/>
    <col min="8691" max="8936" width="9" style="34"/>
    <col min="8937" max="8937" width="3.85546875" style="34" customWidth="1"/>
    <col min="8938" max="8938" width="78.5703125" style="34" customWidth="1"/>
    <col min="8939" max="8939" width="6.28515625" style="34" customWidth="1"/>
    <col min="8940" max="8941" width="8.7109375" style="34" customWidth="1"/>
    <col min="8942" max="8942" width="9.140625" style="34" customWidth="1"/>
    <col min="8943" max="8943" width="8.5703125" style="34" customWidth="1"/>
    <col min="8944" max="8945" width="9.42578125" style="34" customWidth="1"/>
    <col min="8946" max="8946" width="10" style="34" customWidth="1"/>
    <col min="8947" max="9192" width="9" style="34"/>
    <col min="9193" max="9193" width="3.85546875" style="34" customWidth="1"/>
    <col min="9194" max="9194" width="78.5703125" style="34" customWidth="1"/>
    <col min="9195" max="9195" width="6.28515625" style="34" customWidth="1"/>
    <col min="9196" max="9197" width="8.7109375" style="34" customWidth="1"/>
    <col min="9198" max="9198" width="9.140625" style="34" customWidth="1"/>
    <col min="9199" max="9199" width="8.5703125" style="34" customWidth="1"/>
    <col min="9200" max="9201" width="9.42578125" style="34" customWidth="1"/>
    <col min="9202" max="9202" width="10" style="34" customWidth="1"/>
    <col min="9203" max="9448" width="9" style="34"/>
    <col min="9449" max="9449" width="3.85546875" style="34" customWidth="1"/>
    <col min="9450" max="9450" width="78.5703125" style="34" customWidth="1"/>
    <col min="9451" max="9451" width="6.28515625" style="34" customWidth="1"/>
    <col min="9452" max="9453" width="8.7109375" style="34" customWidth="1"/>
    <col min="9454" max="9454" width="9.140625" style="34" customWidth="1"/>
    <col min="9455" max="9455" width="8.5703125" style="34" customWidth="1"/>
    <col min="9456" max="9457" width="9.42578125" style="34" customWidth="1"/>
    <col min="9458" max="9458" width="10" style="34" customWidth="1"/>
    <col min="9459" max="9704" width="9" style="34"/>
    <col min="9705" max="9705" width="3.85546875" style="34" customWidth="1"/>
    <col min="9706" max="9706" width="78.5703125" style="34" customWidth="1"/>
    <col min="9707" max="9707" width="6.28515625" style="34" customWidth="1"/>
    <col min="9708" max="9709" width="8.7109375" style="34" customWidth="1"/>
    <col min="9710" max="9710" width="9.140625" style="34" customWidth="1"/>
    <col min="9711" max="9711" width="8.5703125" style="34" customWidth="1"/>
    <col min="9712" max="9713" width="9.42578125" style="34" customWidth="1"/>
    <col min="9714" max="9714" width="10" style="34" customWidth="1"/>
    <col min="9715" max="9960" width="9" style="34"/>
    <col min="9961" max="9961" width="3.85546875" style="34" customWidth="1"/>
    <col min="9962" max="9962" width="78.5703125" style="34" customWidth="1"/>
    <col min="9963" max="9963" width="6.28515625" style="34" customWidth="1"/>
    <col min="9964" max="9965" width="8.7109375" style="34" customWidth="1"/>
    <col min="9966" max="9966" width="9.140625" style="34" customWidth="1"/>
    <col min="9967" max="9967" width="8.5703125" style="34" customWidth="1"/>
    <col min="9968" max="9969" width="9.42578125" style="34" customWidth="1"/>
    <col min="9970" max="9970" width="10" style="34" customWidth="1"/>
    <col min="9971" max="10216" width="9" style="34"/>
    <col min="10217" max="10217" width="3.85546875" style="34" customWidth="1"/>
    <col min="10218" max="10218" width="78.5703125" style="34" customWidth="1"/>
    <col min="10219" max="10219" width="6.28515625" style="34" customWidth="1"/>
    <col min="10220" max="10221" width="8.7109375" style="34" customWidth="1"/>
    <col min="10222" max="10222" width="9.140625" style="34" customWidth="1"/>
    <col min="10223" max="10223" width="8.5703125" style="34" customWidth="1"/>
    <col min="10224" max="10225" width="9.42578125" style="34" customWidth="1"/>
    <col min="10226" max="10226" width="10" style="34" customWidth="1"/>
    <col min="10227" max="10472" width="9" style="34"/>
    <col min="10473" max="10473" width="3.85546875" style="34" customWidth="1"/>
    <col min="10474" max="10474" width="78.5703125" style="34" customWidth="1"/>
    <col min="10475" max="10475" width="6.28515625" style="34" customWidth="1"/>
    <col min="10476" max="10477" width="8.7109375" style="34" customWidth="1"/>
    <col min="10478" max="10478" width="9.140625" style="34" customWidth="1"/>
    <col min="10479" max="10479" width="8.5703125" style="34" customWidth="1"/>
    <col min="10480" max="10481" width="9.42578125" style="34" customWidth="1"/>
    <col min="10482" max="10482" width="10" style="34" customWidth="1"/>
    <col min="10483" max="10728" width="9" style="34"/>
    <col min="10729" max="10729" width="3.85546875" style="34" customWidth="1"/>
    <col min="10730" max="10730" width="78.5703125" style="34" customWidth="1"/>
    <col min="10731" max="10731" width="6.28515625" style="34" customWidth="1"/>
    <col min="10732" max="10733" width="8.7109375" style="34" customWidth="1"/>
    <col min="10734" max="10734" width="9.140625" style="34" customWidth="1"/>
    <col min="10735" max="10735" width="8.5703125" style="34" customWidth="1"/>
    <col min="10736" max="10737" width="9.42578125" style="34" customWidth="1"/>
    <col min="10738" max="10738" width="10" style="34" customWidth="1"/>
    <col min="10739" max="10984" width="9" style="34"/>
    <col min="10985" max="10985" width="3.85546875" style="34" customWidth="1"/>
    <col min="10986" max="10986" width="78.5703125" style="34" customWidth="1"/>
    <col min="10987" max="10987" width="6.28515625" style="34" customWidth="1"/>
    <col min="10988" max="10989" width="8.7109375" style="34" customWidth="1"/>
    <col min="10990" max="10990" width="9.140625" style="34" customWidth="1"/>
    <col min="10991" max="10991" width="8.5703125" style="34" customWidth="1"/>
    <col min="10992" max="10993" width="9.42578125" style="34" customWidth="1"/>
    <col min="10994" max="10994" width="10" style="34" customWidth="1"/>
    <col min="10995" max="11240" width="9" style="34"/>
    <col min="11241" max="11241" width="3.85546875" style="34" customWidth="1"/>
    <col min="11242" max="11242" width="78.5703125" style="34" customWidth="1"/>
    <col min="11243" max="11243" width="6.28515625" style="34" customWidth="1"/>
    <col min="11244" max="11245" width="8.7109375" style="34" customWidth="1"/>
    <col min="11246" max="11246" width="9.140625" style="34" customWidth="1"/>
    <col min="11247" max="11247" width="8.5703125" style="34" customWidth="1"/>
    <col min="11248" max="11249" width="9.42578125" style="34" customWidth="1"/>
    <col min="11250" max="11250" width="10" style="34" customWidth="1"/>
    <col min="11251" max="11496" width="9" style="34"/>
    <col min="11497" max="11497" width="3.85546875" style="34" customWidth="1"/>
    <col min="11498" max="11498" width="78.5703125" style="34" customWidth="1"/>
    <col min="11499" max="11499" width="6.28515625" style="34" customWidth="1"/>
    <col min="11500" max="11501" width="8.7109375" style="34" customWidth="1"/>
    <col min="11502" max="11502" width="9.140625" style="34" customWidth="1"/>
    <col min="11503" max="11503" width="8.5703125" style="34" customWidth="1"/>
    <col min="11504" max="11505" width="9.42578125" style="34" customWidth="1"/>
    <col min="11506" max="11506" width="10" style="34" customWidth="1"/>
    <col min="11507" max="11752" width="9" style="34"/>
    <col min="11753" max="11753" width="3.85546875" style="34" customWidth="1"/>
    <col min="11754" max="11754" width="78.5703125" style="34" customWidth="1"/>
    <col min="11755" max="11755" width="6.28515625" style="34" customWidth="1"/>
    <col min="11756" max="11757" width="8.7109375" style="34" customWidth="1"/>
    <col min="11758" max="11758" width="9.140625" style="34" customWidth="1"/>
    <col min="11759" max="11759" width="8.5703125" style="34" customWidth="1"/>
    <col min="11760" max="11761" width="9.42578125" style="34" customWidth="1"/>
    <col min="11762" max="11762" width="10" style="34" customWidth="1"/>
    <col min="11763" max="12008" width="9" style="34"/>
    <col min="12009" max="12009" width="3.85546875" style="34" customWidth="1"/>
    <col min="12010" max="12010" width="78.5703125" style="34" customWidth="1"/>
    <col min="12011" max="12011" width="6.28515625" style="34" customWidth="1"/>
    <col min="12012" max="12013" width="8.7109375" style="34" customWidth="1"/>
    <col min="12014" max="12014" width="9.140625" style="34" customWidth="1"/>
    <col min="12015" max="12015" width="8.5703125" style="34" customWidth="1"/>
    <col min="12016" max="12017" width="9.42578125" style="34" customWidth="1"/>
    <col min="12018" max="12018" width="10" style="34" customWidth="1"/>
    <col min="12019" max="12264" width="9" style="34"/>
    <col min="12265" max="12265" width="3.85546875" style="34" customWidth="1"/>
    <col min="12266" max="12266" width="78.5703125" style="34" customWidth="1"/>
    <col min="12267" max="12267" width="6.28515625" style="34" customWidth="1"/>
    <col min="12268" max="12269" width="8.7109375" style="34" customWidth="1"/>
    <col min="12270" max="12270" width="9.140625" style="34" customWidth="1"/>
    <col min="12271" max="12271" width="8.5703125" style="34" customWidth="1"/>
    <col min="12272" max="12273" width="9.42578125" style="34" customWidth="1"/>
    <col min="12274" max="12274" width="10" style="34" customWidth="1"/>
    <col min="12275" max="12520" width="9" style="34"/>
    <col min="12521" max="12521" width="3.85546875" style="34" customWidth="1"/>
    <col min="12522" max="12522" width="78.5703125" style="34" customWidth="1"/>
    <col min="12523" max="12523" width="6.28515625" style="34" customWidth="1"/>
    <col min="12524" max="12525" width="8.7109375" style="34" customWidth="1"/>
    <col min="12526" max="12526" width="9.140625" style="34" customWidth="1"/>
    <col min="12527" max="12527" width="8.5703125" style="34" customWidth="1"/>
    <col min="12528" max="12529" width="9.42578125" style="34" customWidth="1"/>
    <col min="12530" max="12530" width="10" style="34" customWidth="1"/>
    <col min="12531" max="12776" width="9" style="34"/>
    <col min="12777" max="12777" width="3.85546875" style="34" customWidth="1"/>
    <col min="12778" max="12778" width="78.5703125" style="34" customWidth="1"/>
    <col min="12779" max="12779" width="6.28515625" style="34" customWidth="1"/>
    <col min="12780" max="12781" width="8.7109375" style="34" customWidth="1"/>
    <col min="12782" max="12782" width="9.140625" style="34" customWidth="1"/>
    <col min="12783" max="12783" width="8.5703125" style="34" customWidth="1"/>
    <col min="12784" max="12785" width="9.42578125" style="34" customWidth="1"/>
    <col min="12786" max="12786" width="10" style="34" customWidth="1"/>
    <col min="12787" max="13032" width="9" style="34"/>
    <col min="13033" max="13033" width="3.85546875" style="34" customWidth="1"/>
    <col min="13034" max="13034" width="78.5703125" style="34" customWidth="1"/>
    <col min="13035" max="13035" width="6.28515625" style="34" customWidth="1"/>
    <col min="13036" max="13037" width="8.7109375" style="34" customWidth="1"/>
    <col min="13038" max="13038" width="9.140625" style="34" customWidth="1"/>
    <col min="13039" max="13039" width="8.5703125" style="34" customWidth="1"/>
    <col min="13040" max="13041" width="9.42578125" style="34" customWidth="1"/>
    <col min="13042" max="13042" width="10" style="34" customWidth="1"/>
    <col min="13043" max="13288" width="9" style="34"/>
    <col min="13289" max="13289" width="3.85546875" style="34" customWidth="1"/>
    <col min="13290" max="13290" width="78.5703125" style="34" customWidth="1"/>
    <col min="13291" max="13291" width="6.28515625" style="34" customWidth="1"/>
    <col min="13292" max="13293" width="8.7109375" style="34" customWidth="1"/>
    <col min="13294" max="13294" width="9.140625" style="34" customWidth="1"/>
    <col min="13295" max="13295" width="8.5703125" style="34" customWidth="1"/>
    <col min="13296" max="13297" width="9.42578125" style="34" customWidth="1"/>
    <col min="13298" max="13298" width="10" style="34" customWidth="1"/>
    <col min="13299" max="13544" width="9" style="34"/>
    <col min="13545" max="13545" width="3.85546875" style="34" customWidth="1"/>
    <col min="13546" max="13546" width="78.5703125" style="34" customWidth="1"/>
    <col min="13547" max="13547" width="6.28515625" style="34" customWidth="1"/>
    <col min="13548" max="13549" width="8.7109375" style="34" customWidth="1"/>
    <col min="13550" max="13550" width="9.140625" style="34" customWidth="1"/>
    <col min="13551" max="13551" width="8.5703125" style="34" customWidth="1"/>
    <col min="13552" max="13553" width="9.42578125" style="34" customWidth="1"/>
    <col min="13554" max="13554" width="10" style="34" customWidth="1"/>
    <col min="13555" max="13800" width="9" style="34"/>
    <col min="13801" max="13801" width="3.85546875" style="34" customWidth="1"/>
    <col min="13802" max="13802" width="78.5703125" style="34" customWidth="1"/>
    <col min="13803" max="13803" width="6.28515625" style="34" customWidth="1"/>
    <col min="13804" max="13805" width="8.7109375" style="34" customWidth="1"/>
    <col min="13806" max="13806" width="9.140625" style="34" customWidth="1"/>
    <col min="13807" max="13807" width="8.5703125" style="34" customWidth="1"/>
    <col min="13808" max="13809" width="9.42578125" style="34" customWidth="1"/>
    <col min="13810" max="13810" width="10" style="34" customWidth="1"/>
    <col min="13811" max="14056" width="9" style="34"/>
    <col min="14057" max="14057" width="3.85546875" style="34" customWidth="1"/>
    <col min="14058" max="14058" width="78.5703125" style="34" customWidth="1"/>
    <col min="14059" max="14059" width="6.28515625" style="34" customWidth="1"/>
    <col min="14060" max="14061" width="8.7109375" style="34" customWidth="1"/>
    <col min="14062" max="14062" width="9.140625" style="34" customWidth="1"/>
    <col min="14063" max="14063" width="8.5703125" style="34" customWidth="1"/>
    <col min="14064" max="14065" width="9.42578125" style="34" customWidth="1"/>
    <col min="14066" max="14066" width="10" style="34" customWidth="1"/>
    <col min="14067" max="14312" width="9" style="34"/>
    <col min="14313" max="14313" width="3.85546875" style="34" customWidth="1"/>
    <col min="14314" max="14314" width="78.5703125" style="34" customWidth="1"/>
    <col min="14315" max="14315" width="6.28515625" style="34" customWidth="1"/>
    <col min="14316" max="14317" width="8.7109375" style="34" customWidth="1"/>
    <col min="14318" max="14318" width="9.140625" style="34" customWidth="1"/>
    <col min="14319" max="14319" width="8.5703125" style="34" customWidth="1"/>
    <col min="14320" max="14321" width="9.42578125" style="34" customWidth="1"/>
    <col min="14322" max="14322" width="10" style="34" customWidth="1"/>
    <col min="14323" max="14568" width="9" style="34"/>
    <col min="14569" max="14569" width="3.85546875" style="34" customWidth="1"/>
    <col min="14570" max="14570" width="78.5703125" style="34" customWidth="1"/>
    <col min="14571" max="14571" width="6.28515625" style="34" customWidth="1"/>
    <col min="14572" max="14573" width="8.7109375" style="34" customWidth="1"/>
    <col min="14574" max="14574" width="9.140625" style="34" customWidth="1"/>
    <col min="14575" max="14575" width="8.5703125" style="34" customWidth="1"/>
    <col min="14576" max="14577" width="9.42578125" style="34" customWidth="1"/>
    <col min="14578" max="14578" width="10" style="34" customWidth="1"/>
    <col min="14579" max="14824" width="9" style="34"/>
    <col min="14825" max="14825" width="3.85546875" style="34" customWidth="1"/>
    <col min="14826" max="14826" width="78.5703125" style="34" customWidth="1"/>
    <col min="14827" max="14827" width="6.28515625" style="34" customWidth="1"/>
    <col min="14828" max="14829" width="8.7109375" style="34" customWidth="1"/>
    <col min="14830" max="14830" width="9.140625" style="34" customWidth="1"/>
    <col min="14831" max="14831" width="8.5703125" style="34" customWidth="1"/>
    <col min="14832" max="14833" width="9.42578125" style="34" customWidth="1"/>
    <col min="14834" max="14834" width="10" style="34" customWidth="1"/>
    <col min="14835" max="15080" width="9" style="34"/>
    <col min="15081" max="15081" width="3.85546875" style="34" customWidth="1"/>
    <col min="15082" max="15082" width="78.5703125" style="34" customWidth="1"/>
    <col min="15083" max="15083" width="6.28515625" style="34" customWidth="1"/>
    <col min="15084" max="15085" width="8.7109375" style="34" customWidth="1"/>
    <col min="15086" max="15086" width="9.140625" style="34" customWidth="1"/>
    <col min="15087" max="15087" width="8.5703125" style="34" customWidth="1"/>
    <col min="15088" max="15089" width="9.42578125" style="34" customWidth="1"/>
    <col min="15090" max="15090" width="10" style="34" customWidth="1"/>
    <col min="15091" max="15336" width="9" style="34"/>
    <col min="15337" max="15337" width="3.85546875" style="34" customWidth="1"/>
    <col min="15338" max="15338" width="78.5703125" style="34" customWidth="1"/>
    <col min="15339" max="15339" width="6.28515625" style="34" customWidth="1"/>
    <col min="15340" max="15341" width="8.7109375" style="34" customWidth="1"/>
    <col min="15342" max="15342" width="9.140625" style="34" customWidth="1"/>
    <col min="15343" max="15343" width="8.5703125" style="34" customWidth="1"/>
    <col min="15344" max="15345" width="9.42578125" style="34" customWidth="1"/>
    <col min="15346" max="15346" width="10" style="34" customWidth="1"/>
    <col min="15347" max="15592" width="9" style="34"/>
    <col min="15593" max="15593" width="3.85546875" style="34" customWidth="1"/>
    <col min="15594" max="15594" width="78.5703125" style="34" customWidth="1"/>
    <col min="15595" max="15595" width="6.28515625" style="34" customWidth="1"/>
    <col min="15596" max="15597" width="8.7109375" style="34" customWidth="1"/>
    <col min="15598" max="15598" width="9.140625" style="34" customWidth="1"/>
    <col min="15599" max="15599" width="8.5703125" style="34" customWidth="1"/>
    <col min="15600" max="15601" width="9.42578125" style="34" customWidth="1"/>
    <col min="15602" max="15602" width="10" style="34" customWidth="1"/>
    <col min="15603" max="15848" width="9" style="34"/>
    <col min="15849" max="15849" width="3.85546875" style="34" customWidth="1"/>
    <col min="15850" max="15850" width="78.5703125" style="34" customWidth="1"/>
    <col min="15851" max="15851" width="6.28515625" style="34" customWidth="1"/>
    <col min="15852" max="15853" width="8.7109375" style="34" customWidth="1"/>
    <col min="15854" max="15854" width="9.140625" style="34" customWidth="1"/>
    <col min="15855" max="15855" width="8.5703125" style="34" customWidth="1"/>
    <col min="15856" max="15857" width="9.42578125" style="34" customWidth="1"/>
    <col min="15858" max="15858" width="10" style="34" customWidth="1"/>
    <col min="15859" max="16104" width="9" style="34"/>
    <col min="16105" max="16105" width="3.85546875" style="34" customWidth="1"/>
    <col min="16106" max="16106" width="78.5703125" style="34" customWidth="1"/>
    <col min="16107" max="16107" width="6.28515625" style="34" customWidth="1"/>
    <col min="16108" max="16109" width="8.7109375" style="34" customWidth="1"/>
    <col min="16110" max="16110" width="9.140625" style="34" customWidth="1"/>
    <col min="16111" max="16111" width="8.5703125" style="34" customWidth="1"/>
    <col min="16112" max="16113" width="9.42578125" style="34" customWidth="1"/>
    <col min="16114" max="16114" width="10" style="34" customWidth="1"/>
    <col min="16115" max="16384" width="9" style="34"/>
  </cols>
  <sheetData>
    <row r="1" spans="1:39" s="5" customFormat="1" ht="16.899999999999999" customHeight="1" x14ac:dyDescent="0.2">
      <c r="B1" s="1"/>
      <c r="C1" s="2"/>
      <c r="D1" s="2"/>
      <c r="E1" s="2"/>
      <c r="F1" s="2"/>
      <c r="G1" s="2"/>
      <c r="H1" s="2"/>
      <c r="I1" s="2"/>
      <c r="J1" s="2"/>
      <c r="K1" s="2"/>
      <c r="L1" s="2"/>
      <c r="M1" s="2"/>
      <c r="W1" s="120"/>
    </row>
    <row r="2" spans="1:39" s="4" customFormat="1" ht="23.25" customHeight="1" x14ac:dyDescent="0.2">
      <c r="A2" s="1" t="s">
        <v>43</v>
      </c>
      <c r="B2" s="1"/>
      <c r="C2" s="51"/>
      <c r="D2" s="2"/>
      <c r="E2" s="2"/>
      <c r="F2" s="2"/>
      <c r="G2" s="2"/>
      <c r="H2" s="2"/>
      <c r="I2" s="2"/>
      <c r="J2" s="2"/>
      <c r="K2" s="2"/>
      <c r="L2" s="2"/>
      <c r="M2" s="2"/>
      <c r="W2" s="121"/>
    </row>
    <row r="3" spans="1:39" s="4" customFormat="1" ht="23.25" customHeight="1" x14ac:dyDescent="0.2">
      <c r="A3" s="75"/>
      <c r="B3" s="1"/>
      <c r="C3" s="51"/>
      <c r="D3" s="2"/>
      <c r="E3" s="2"/>
      <c r="F3" s="2"/>
      <c r="G3" s="2"/>
      <c r="H3" s="2"/>
      <c r="I3" s="2"/>
      <c r="J3" s="2"/>
      <c r="K3" s="2"/>
      <c r="L3" s="2"/>
      <c r="M3" s="2"/>
      <c r="W3" s="121"/>
    </row>
    <row r="4" spans="1:39" s="4" customFormat="1" ht="23.25" customHeight="1" x14ac:dyDescent="0.2">
      <c r="A4" s="76" t="s">
        <v>44</v>
      </c>
      <c r="B4" s="1"/>
      <c r="C4" s="51"/>
      <c r="D4" s="2"/>
      <c r="E4" s="2"/>
      <c r="F4" s="2"/>
      <c r="G4" s="2"/>
      <c r="H4" s="2"/>
      <c r="I4" s="2"/>
      <c r="J4" s="2"/>
      <c r="K4" s="2"/>
      <c r="L4" s="2"/>
      <c r="M4" s="2"/>
      <c r="W4" s="121"/>
    </row>
    <row r="5" spans="1:39" s="4" customFormat="1" ht="23.25" customHeight="1" x14ac:dyDescent="0.2">
      <c r="A5" s="75"/>
      <c r="B5" s="1"/>
      <c r="C5" s="51"/>
      <c r="D5" s="2"/>
      <c r="E5" s="2"/>
      <c r="F5" s="2"/>
      <c r="G5" s="2"/>
      <c r="H5" s="2"/>
      <c r="I5" s="2"/>
      <c r="J5" s="2"/>
      <c r="K5" s="2"/>
      <c r="L5" s="2"/>
      <c r="M5" s="2"/>
      <c r="W5" s="121"/>
    </row>
    <row r="6" spans="1:39" s="4" customFormat="1" ht="23.25" customHeight="1" x14ac:dyDescent="0.2">
      <c r="A6" s="1" t="s">
        <v>45</v>
      </c>
      <c r="B6" s="1"/>
      <c r="C6" s="51"/>
      <c r="D6" s="2"/>
      <c r="E6" s="2"/>
      <c r="F6" s="2"/>
      <c r="G6" s="2"/>
      <c r="H6" s="2"/>
      <c r="I6" s="2"/>
      <c r="J6" s="2"/>
      <c r="K6" s="2"/>
      <c r="L6" s="2"/>
      <c r="M6" s="2"/>
      <c r="W6" s="121"/>
    </row>
    <row r="7" spans="1:39" s="24" customFormat="1" ht="30" customHeight="1" x14ac:dyDescent="0.3">
      <c r="A7" s="179" t="s">
        <v>135</v>
      </c>
      <c r="B7" s="179"/>
      <c r="C7" s="179"/>
      <c r="D7" s="179"/>
      <c r="E7" s="179"/>
      <c r="F7" s="179"/>
      <c r="G7" s="179"/>
      <c r="H7" s="179"/>
      <c r="I7" s="179"/>
      <c r="J7" s="179"/>
      <c r="K7" s="179"/>
      <c r="L7" s="179"/>
      <c r="M7" s="179"/>
      <c r="N7" s="179"/>
      <c r="O7" s="179"/>
      <c r="P7" s="179"/>
      <c r="Q7" s="179"/>
      <c r="R7" s="179"/>
      <c r="S7" s="179"/>
      <c r="T7" s="179"/>
      <c r="U7" s="179"/>
      <c r="W7" s="122"/>
    </row>
    <row r="8" spans="1:39" s="24" customFormat="1" ht="30" customHeight="1" x14ac:dyDescent="0.3">
      <c r="A8" s="180" t="s">
        <v>38</v>
      </c>
      <c r="B8" s="180"/>
      <c r="C8" s="180"/>
      <c r="D8" s="180"/>
      <c r="E8" s="180"/>
      <c r="F8" s="180"/>
      <c r="G8" s="180"/>
      <c r="H8" s="180"/>
      <c r="I8" s="180"/>
      <c r="J8" s="180"/>
      <c r="K8" s="180"/>
      <c r="L8" s="180"/>
      <c r="M8" s="180"/>
      <c r="N8" s="180"/>
      <c r="O8" s="180"/>
      <c r="P8" s="180"/>
      <c r="Q8" s="180"/>
      <c r="R8" s="180"/>
      <c r="S8" s="180"/>
      <c r="T8" s="180"/>
      <c r="U8" s="180"/>
      <c r="W8" s="122"/>
    </row>
    <row r="9" spans="1:39" s="25" customFormat="1" ht="74.25" customHeight="1" x14ac:dyDescent="0.25">
      <c r="A9" s="181" t="s">
        <v>112</v>
      </c>
      <c r="B9" s="181"/>
      <c r="C9" s="181"/>
      <c r="D9" s="181"/>
      <c r="E9" s="181"/>
      <c r="F9" s="181"/>
      <c r="G9" s="181"/>
      <c r="H9" s="181"/>
      <c r="I9" s="181"/>
      <c r="J9" s="181"/>
      <c r="K9" s="181"/>
      <c r="L9" s="181"/>
      <c r="M9" s="181"/>
      <c r="N9" s="181"/>
      <c r="O9" s="181"/>
      <c r="P9" s="181"/>
      <c r="Q9" s="181"/>
      <c r="R9" s="181"/>
      <c r="S9" s="181"/>
      <c r="T9" s="181"/>
      <c r="U9" s="181"/>
      <c r="W9" s="123"/>
    </row>
    <row r="10" spans="1:39" s="27" customFormat="1" ht="18.75" customHeight="1" x14ac:dyDescent="0.2">
      <c r="A10" s="182"/>
      <c r="B10" s="182"/>
      <c r="C10" s="182"/>
      <c r="D10" s="182"/>
      <c r="E10" s="182"/>
      <c r="F10" s="182"/>
      <c r="G10" s="182"/>
      <c r="H10" s="182"/>
      <c r="I10" s="182"/>
      <c r="J10" s="182"/>
      <c r="K10" s="182"/>
      <c r="L10" s="182"/>
      <c r="M10" s="182"/>
      <c r="N10" s="182"/>
      <c r="O10" s="182"/>
      <c r="P10" s="182"/>
      <c r="Q10" s="182"/>
      <c r="R10" s="182"/>
      <c r="S10" s="182"/>
      <c r="T10" s="182"/>
      <c r="U10" s="182"/>
      <c r="W10" s="124"/>
    </row>
    <row r="11" spans="1:39" s="26" customFormat="1" ht="20.100000000000001" customHeight="1" x14ac:dyDescent="0.25">
      <c r="A11" s="12"/>
      <c r="B11" s="13" t="s">
        <v>10</v>
      </c>
      <c r="D11" s="11"/>
      <c r="E11" s="11"/>
      <c r="F11" s="11"/>
      <c r="G11" s="11"/>
      <c r="H11" s="11"/>
      <c r="I11" s="11"/>
      <c r="J11" s="11"/>
      <c r="K11" s="11"/>
      <c r="L11" s="11"/>
      <c r="M11" s="11"/>
      <c r="N11" s="11"/>
      <c r="O11" s="23"/>
      <c r="P11" s="23"/>
      <c r="Q11" s="23"/>
      <c r="R11" s="23"/>
      <c r="S11" s="23"/>
      <c r="T11" s="23"/>
      <c r="V11" s="3"/>
      <c r="W11" s="125"/>
      <c r="X11" s="3"/>
      <c r="Y11" s="3"/>
      <c r="Z11" s="3"/>
      <c r="AA11" s="3"/>
      <c r="AB11" s="3"/>
      <c r="AC11" s="3"/>
      <c r="AD11" s="3"/>
      <c r="AE11" s="3"/>
      <c r="AF11" s="3"/>
      <c r="AG11" s="3"/>
      <c r="AH11" s="3"/>
      <c r="AI11" s="3"/>
      <c r="AJ11" s="3"/>
      <c r="AK11" s="3"/>
      <c r="AL11" s="3"/>
      <c r="AM11" s="3"/>
    </row>
    <row r="12" spans="1:39" s="4" customFormat="1" ht="64.5" customHeight="1" x14ac:dyDescent="0.25">
      <c r="A12" s="9"/>
      <c r="B12" s="6"/>
      <c r="C12" s="7"/>
      <c r="D12" s="8"/>
      <c r="E12" s="8"/>
      <c r="F12" s="8"/>
      <c r="G12" s="93"/>
      <c r="H12" s="93"/>
      <c r="I12" s="93"/>
      <c r="J12" s="93"/>
      <c r="K12" s="93"/>
      <c r="L12" s="8"/>
      <c r="M12" s="8"/>
      <c r="N12" s="8"/>
      <c r="Q12" s="116"/>
      <c r="R12" s="183" t="s">
        <v>134</v>
      </c>
      <c r="S12" s="184"/>
      <c r="T12" s="184"/>
      <c r="U12" s="184"/>
      <c r="W12" s="121"/>
    </row>
    <row r="13" spans="1:39" s="4" customFormat="1" ht="22.5" customHeight="1" thickBot="1" x14ac:dyDescent="0.3">
      <c r="A13" s="9"/>
      <c r="B13" s="6"/>
      <c r="C13" s="7"/>
      <c r="D13" s="8"/>
      <c r="E13" s="8"/>
      <c r="F13" s="8"/>
      <c r="G13" s="93"/>
      <c r="H13" s="93"/>
      <c r="I13" s="93"/>
      <c r="J13" s="93"/>
      <c r="K13" s="93"/>
      <c r="L13" s="8"/>
      <c r="M13" s="8"/>
      <c r="N13" s="8"/>
      <c r="Q13" s="116"/>
      <c r="R13" s="116"/>
      <c r="S13" s="116"/>
      <c r="T13" s="116"/>
      <c r="U13" s="135" t="s">
        <v>111</v>
      </c>
      <c r="W13" s="121"/>
    </row>
    <row r="14" spans="1:39" s="10" customFormat="1" ht="33" customHeight="1" x14ac:dyDescent="0.25">
      <c r="A14" s="171" t="s">
        <v>0</v>
      </c>
      <c r="B14" s="173" t="s">
        <v>11</v>
      </c>
      <c r="C14" s="175" t="s">
        <v>1</v>
      </c>
      <c r="D14" s="173" t="s">
        <v>2</v>
      </c>
      <c r="E14" s="166" t="s">
        <v>80</v>
      </c>
      <c r="F14" s="167"/>
      <c r="G14" s="167"/>
      <c r="H14" s="167"/>
      <c r="I14" s="167"/>
      <c r="J14" s="178"/>
      <c r="K14" s="166" t="s">
        <v>81</v>
      </c>
      <c r="L14" s="167"/>
      <c r="M14" s="168"/>
      <c r="N14" s="154" t="s">
        <v>21</v>
      </c>
      <c r="O14" s="156" t="s">
        <v>14</v>
      </c>
      <c r="P14" s="157"/>
      <c r="Q14" s="158"/>
      <c r="R14" s="159" t="s">
        <v>13</v>
      </c>
      <c r="S14" s="160"/>
      <c r="T14" s="161"/>
      <c r="U14" s="162" t="s">
        <v>3</v>
      </c>
      <c r="W14" s="126"/>
    </row>
    <row r="15" spans="1:39" s="10" customFormat="1" ht="48" customHeight="1" x14ac:dyDescent="0.25">
      <c r="A15" s="172"/>
      <c r="B15" s="174"/>
      <c r="C15" s="176"/>
      <c r="D15" s="177"/>
      <c r="E15" s="53" t="s">
        <v>74</v>
      </c>
      <c r="F15" s="53" t="s">
        <v>75</v>
      </c>
      <c r="G15" s="53" t="s">
        <v>76</v>
      </c>
      <c r="H15" s="53" t="s">
        <v>77</v>
      </c>
      <c r="I15" s="53" t="s">
        <v>78</v>
      </c>
      <c r="J15" s="53" t="s">
        <v>79</v>
      </c>
      <c r="K15" s="53" t="s">
        <v>74</v>
      </c>
      <c r="L15" s="53" t="s">
        <v>75</v>
      </c>
      <c r="M15" s="53" t="s">
        <v>76</v>
      </c>
      <c r="N15" s="155"/>
      <c r="O15" s="14" t="s">
        <v>4</v>
      </c>
      <c r="P15" s="15" t="s">
        <v>5</v>
      </c>
      <c r="Q15" s="16" t="s">
        <v>6</v>
      </c>
      <c r="R15" s="17" t="s">
        <v>4</v>
      </c>
      <c r="S15" s="18" t="s">
        <v>5</v>
      </c>
      <c r="T15" s="16" t="s">
        <v>6</v>
      </c>
      <c r="U15" s="163"/>
      <c r="W15" s="126"/>
    </row>
    <row r="16" spans="1:39" s="10" customFormat="1" ht="18.75" customHeight="1" x14ac:dyDescent="0.25">
      <c r="A16" s="99">
        <v>1</v>
      </c>
      <c r="B16" s="77">
        <v>2</v>
      </c>
      <c r="C16" s="100">
        <v>3</v>
      </c>
      <c r="D16" s="101">
        <v>4</v>
      </c>
      <c r="E16" s="54"/>
      <c r="F16" s="101"/>
      <c r="G16" s="101"/>
      <c r="H16" s="101"/>
      <c r="I16" s="101"/>
      <c r="J16" s="101"/>
      <c r="K16" s="101"/>
      <c r="L16" s="101"/>
      <c r="M16" s="101"/>
      <c r="N16" s="61">
        <v>5</v>
      </c>
      <c r="O16" s="99">
        <v>6</v>
      </c>
      <c r="P16" s="101">
        <v>7</v>
      </c>
      <c r="Q16" s="102">
        <v>8</v>
      </c>
      <c r="R16" s="99">
        <v>9</v>
      </c>
      <c r="S16" s="54">
        <v>10</v>
      </c>
      <c r="T16" s="52">
        <v>11</v>
      </c>
      <c r="U16" s="103">
        <v>12</v>
      </c>
      <c r="W16" s="126"/>
    </row>
    <row r="17" spans="1:23" s="10" customFormat="1" ht="37.5" customHeight="1" x14ac:dyDescent="0.25">
      <c r="A17" s="104">
        <v>1</v>
      </c>
      <c r="B17" s="105"/>
      <c r="C17" s="106" t="s">
        <v>69</v>
      </c>
      <c r="D17" s="107"/>
      <c r="E17" s="107"/>
      <c r="F17" s="107"/>
      <c r="G17" s="107"/>
      <c r="H17" s="107"/>
      <c r="I17" s="107"/>
      <c r="J17" s="107"/>
      <c r="K17" s="107"/>
      <c r="L17" s="107"/>
      <c r="M17" s="107"/>
      <c r="N17" s="108"/>
      <c r="O17" s="109"/>
      <c r="P17" s="110"/>
      <c r="Q17" s="111"/>
      <c r="R17" s="113">
        <f>SUM(R18:R26)</f>
        <v>0</v>
      </c>
      <c r="S17" s="114">
        <f>SUM(S18:S26)</f>
        <v>0</v>
      </c>
      <c r="T17" s="115">
        <f>R17+S17</f>
        <v>0</v>
      </c>
      <c r="U17" s="112"/>
      <c r="W17" s="126"/>
    </row>
    <row r="18" spans="1:23" s="10" customFormat="1" ht="37.5" customHeight="1" x14ac:dyDescent="0.25">
      <c r="A18" s="91" t="s">
        <v>16</v>
      </c>
      <c r="B18" s="78"/>
      <c r="C18" s="19" t="s">
        <v>46</v>
      </c>
      <c r="D18" s="20" t="s">
        <v>35</v>
      </c>
      <c r="E18" s="70">
        <f>340.28</f>
        <v>340.28</v>
      </c>
      <c r="F18" s="70">
        <f>435.44</f>
        <v>435.44</v>
      </c>
      <c r="G18" s="70">
        <f>287.59</f>
        <v>287.58999999999997</v>
      </c>
      <c r="H18" s="70">
        <f>0</f>
        <v>0</v>
      </c>
      <c r="I18" s="70">
        <f>0</f>
        <v>0</v>
      </c>
      <c r="J18" s="70">
        <f>0</f>
        <v>0</v>
      </c>
      <c r="K18" s="70">
        <f>0</f>
        <v>0</v>
      </c>
      <c r="L18" s="70">
        <f>0</f>
        <v>0</v>
      </c>
      <c r="M18" s="70">
        <f>0</f>
        <v>0</v>
      </c>
      <c r="N18" s="79">
        <f t="shared" ref="N18" si="0">SUM(E18:M18)</f>
        <v>1063.31</v>
      </c>
      <c r="O18" s="94"/>
      <c r="P18" s="95"/>
      <c r="Q18" s="96">
        <f t="shared" ref="Q18" si="1">O18+P18</f>
        <v>0</v>
      </c>
      <c r="R18" s="97">
        <f t="shared" ref="R18" si="2">N18*O18</f>
        <v>0</v>
      </c>
      <c r="S18" s="98">
        <f t="shared" ref="S18" si="3">N18*P18</f>
        <v>0</v>
      </c>
      <c r="T18" s="96">
        <f t="shared" ref="T18:T25" si="4">R18+S18</f>
        <v>0</v>
      </c>
      <c r="U18" s="137"/>
      <c r="W18" s="126"/>
    </row>
    <row r="19" spans="1:23" s="10" customFormat="1" ht="37.5" customHeight="1" x14ac:dyDescent="0.25">
      <c r="A19" s="91" t="s">
        <v>17</v>
      </c>
      <c r="B19" s="78"/>
      <c r="C19" s="19" t="s">
        <v>85</v>
      </c>
      <c r="D19" s="20" t="s">
        <v>35</v>
      </c>
      <c r="E19" s="70">
        <f>24.41</f>
        <v>24.41</v>
      </c>
      <c r="F19" s="70">
        <f>27.5</f>
        <v>27.5</v>
      </c>
      <c r="G19" s="70">
        <f>23.18</f>
        <v>23.18</v>
      </c>
      <c r="H19" s="70">
        <f>0</f>
        <v>0</v>
      </c>
      <c r="I19" s="70">
        <f>0</f>
        <v>0</v>
      </c>
      <c r="J19" s="70">
        <f>0</f>
        <v>0</v>
      </c>
      <c r="K19" s="70">
        <f>0</f>
        <v>0</v>
      </c>
      <c r="L19" s="70">
        <f>0</f>
        <v>0</v>
      </c>
      <c r="M19" s="70">
        <f>0</f>
        <v>0</v>
      </c>
      <c r="N19" s="79">
        <f t="shared" ref="N19:N23" si="5">SUM(E19:M19)</f>
        <v>75.09</v>
      </c>
      <c r="O19" s="94"/>
      <c r="P19" s="95"/>
      <c r="Q19" s="96">
        <f t="shared" ref="Q19:Q23" si="6">O19+P19</f>
        <v>0</v>
      </c>
      <c r="R19" s="97">
        <f t="shared" ref="R19:R23" si="7">N19*O19</f>
        <v>0</v>
      </c>
      <c r="S19" s="98">
        <f t="shared" ref="S19:S23" si="8">N19*P19</f>
        <v>0</v>
      </c>
      <c r="T19" s="96">
        <f t="shared" si="4"/>
        <v>0</v>
      </c>
      <c r="U19" s="137"/>
      <c r="W19" s="126"/>
    </row>
    <row r="20" spans="1:23" s="10" customFormat="1" ht="37.5" customHeight="1" x14ac:dyDescent="0.25">
      <c r="A20" s="91" t="s">
        <v>18</v>
      </c>
      <c r="B20" s="78"/>
      <c r="C20" s="19" t="s">
        <v>47</v>
      </c>
      <c r="D20" s="20" t="s">
        <v>35</v>
      </c>
      <c r="E20" s="70">
        <f>27.64</f>
        <v>27.64</v>
      </c>
      <c r="F20" s="70">
        <f>32.54</f>
        <v>32.54</v>
      </c>
      <c r="G20" s="70">
        <f>22.67</f>
        <v>22.67</v>
      </c>
      <c r="H20" s="70">
        <f>0</f>
        <v>0</v>
      </c>
      <c r="I20" s="70">
        <f>0</f>
        <v>0</v>
      </c>
      <c r="J20" s="70">
        <f>0</f>
        <v>0</v>
      </c>
      <c r="K20" s="70">
        <f>0</f>
        <v>0</v>
      </c>
      <c r="L20" s="70">
        <f>0</f>
        <v>0</v>
      </c>
      <c r="M20" s="70">
        <f>0</f>
        <v>0</v>
      </c>
      <c r="N20" s="79">
        <f t="shared" si="5"/>
        <v>82.85</v>
      </c>
      <c r="O20" s="94"/>
      <c r="P20" s="95"/>
      <c r="Q20" s="96">
        <f t="shared" si="6"/>
        <v>0</v>
      </c>
      <c r="R20" s="97">
        <f t="shared" si="7"/>
        <v>0</v>
      </c>
      <c r="S20" s="98">
        <f t="shared" si="8"/>
        <v>0</v>
      </c>
      <c r="T20" s="96">
        <f t="shared" si="4"/>
        <v>0</v>
      </c>
      <c r="U20" s="137"/>
      <c r="W20" s="126"/>
    </row>
    <row r="21" spans="1:23" s="10" customFormat="1" ht="37.5" customHeight="1" x14ac:dyDescent="0.25">
      <c r="A21" s="91" t="s">
        <v>19</v>
      </c>
      <c r="B21" s="78"/>
      <c r="C21" s="19" t="s">
        <v>132</v>
      </c>
      <c r="D21" s="20" t="s">
        <v>35</v>
      </c>
      <c r="E21" s="70">
        <f>19.98</f>
        <v>19.98</v>
      </c>
      <c r="F21" s="70">
        <f>30.11</f>
        <v>30.11</v>
      </c>
      <c r="G21" s="70">
        <f>20.1</f>
        <v>20.100000000000001</v>
      </c>
      <c r="H21" s="70">
        <f>0</f>
        <v>0</v>
      </c>
      <c r="I21" s="70">
        <f>0</f>
        <v>0</v>
      </c>
      <c r="J21" s="70">
        <f>0</f>
        <v>0</v>
      </c>
      <c r="K21" s="70">
        <f>0</f>
        <v>0</v>
      </c>
      <c r="L21" s="70">
        <f>0</f>
        <v>0</v>
      </c>
      <c r="M21" s="70">
        <f>0</f>
        <v>0</v>
      </c>
      <c r="N21" s="79">
        <f t="shared" si="5"/>
        <v>70.19</v>
      </c>
      <c r="O21" s="94"/>
      <c r="P21" s="95"/>
      <c r="Q21" s="96">
        <f t="shared" si="6"/>
        <v>0</v>
      </c>
      <c r="R21" s="97">
        <f t="shared" si="7"/>
        <v>0</v>
      </c>
      <c r="S21" s="98">
        <f t="shared" si="8"/>
        <v>0</v>
      </c>
      <c r="T21" s="96">
        <f t="shared" si="4"/>
        <v>0</v>
      </c>
      <c r="U21" s="137"/>
      <c r="W21" s="126"/>
    </row>
    <row r="22" spans="1:23" s="10" customFormat="1" ht="37.5" customHeight="1" x14ac:dyDescent="0.25">
      <c r="A22" s="91" t="s">
        <v>41</v>
      </c>
      <c r="B22" s="78"/>
      <c r="C22" s="19" t="s">
        <v>82</v>
      </c>
      <c r="D22" s="20" t="s">
        <v>35</v>
      </c>
      <c r="E22" s="70">
        <f>1.74</f>
        <v>1.74</v>
      </c>
      <c r="F22" s="70">
        <f>2.99</f>
        <v>2.99</v>
      </c>
      <c r="G22" s="70">
        <f>1.74</f>
        <v>1.74</v>
      </c>
      <c r="H22" s="70">
        <f>0</f>
        <v>0</v>
      </c>
      <c r="I22" s="70">
        <f>0</f>
        <v>0</v>
      </c>
      <c r="J22" s="70">
        <f>0</f>
        <v>0</v>
      </c>
      <c r="K22" s="70">
        <f>0</f>
        <v>0</v>
      </c>
      <c r="L22" s="70">
        <f>0</f>
        <v>0</v>
      </c>
      <c r="M22" s="70">
        <f>0</f>
        <v>0</v>
      </c>
      <c r="N22" s="79">
        <f t="shared" si="5"/>
        <v>6.47</v>
      </c>
      <c r="O22" s="94"/>
      <c r="P22" s="95"/>
      <c r="Q22" s="96">
        <f t="shared" si="6"/>
        <v>0</v>
      </c>
      <c r="R22" s="97">
        <f t="shared" si="7"/>
        <v>0</v>
      </c>
      <c r="S22" s="98">
        <f t="shared" si="8"/>
        <v>0</v>
      </c>
      <c r="T22" s="96">
        <f t="shared" si="4"/>
        <v>0</v>
      </c>
      <c r="U22" s="137"/>
      <c r="W22" s="126"/>
    </row>
    <row r="23" spans="1:23" s="10" customFormat="1" ht="37.5" customHeight="1" x14ac:dyDescent="0.25">
      <c r="A23" s="91" t="s">
        <v>48</v>
      </c>
      <c r="B23" s="78"/>
      <c r="C23" s="19" t="s">
        <v>83</v>
      </c>
      <c r="D23" s="20" t="s">
        <v>35</v>
      </c>
      <c r="E23" s="70">
        <f>4.13</f>
        <v>4.13</v>
      </c>
      <c r="F23" s="70">
        <f>7.16</f>
        <v>7.16</v>
      </c>
      <c r="G23" s="70">
        <f>3.24</f>
        <v>3.24</v>
      </c>
      <c r="H23" s="70">
        <f>0</f>
        <v>0</v>
      </c>
      <c r="I23" s="70">
        <f>0</f>
        <v>0</v>
      </c>
      <c r="J23" s="70">
        <f>0</f>
        <v>0</v>
      </c>
      <c r="K23" s="70">
        <f>0</f>
        <v>0</v>
      </c>
      <c r="L23" s="70">
        <f>0</f>
        <v>0</v>
      </c>
      <c r="M23" s="70">
        <f>0</f>
        <v>0</v>
      </c>
      <c r="N23" s="79">
        <f t="shared" si="5"/>
        <v>14.53</v>
      </c>
      <c r="O23" s="94"/>
      <c r="P23" s="95"/>
      <c r="Q23" s="96">
        <f t="shared" si="6"/>
        <v>0</v>
      </c>
      <c r="R23" s="97">
        <f t="shared" si="7"/>
        <v>0</v>
      </c>
      <c r="S23" s="98">
        <f t="shared" si="8"/>
        <v>0</v>
      </c>
      <c r="T23" s="96">
        <f t="shared" si="4"/>
        <v>0</v>
      </c>
      <c r="U23" s="137"/>
      <c r="W23" s="126"/>
    </row>
    <row r="24" spans="1:23" s="10" customFormat="1" ht="37.5" customHeight="1" x14ac:dyDescent="0.25">
      <c r="A24" s="91" t="s">
        <v>49</v>
      </c>
      <c r="B24" s="78"/>
      <c r="C24" s="19" t="s">
        <v>84</v>
      </c>
      <c r="D24" s="20" t="s">
        <v>35</v>
      </c>
      <c r="E24" s="70">
        <f>1.25</f>
        <v>1.25</v>
      </c>
      <c r="F24" s="70">
        <f>1.37</f>
        <v>1.37</v>
      </c>
      <c r="G24" s="70">
        <f>1.31</f>
        <v>1.31</v>
      </c>
      <c r="H24" s="70">
        <f>0</f>
        <v>0</v>
      </c>
      <c r="I24" s="70">
        <f>0</f>
        <v>0</v>
      </c>
      <c r="J24" s="70">
        <f>0</f>
        <v>0</v>
      </c>
      <c r="K24" s="70">
        <f>0</f>
        <v>0</v>
      </c>
      <c r="L24" s="70">
        <f>0</f>
        <v>0</v>
      </c>
      <c r="M24" s="70">
        <f>0</f>
        <v>0</v>
      </c>
      <c r="N24" s="79">
        <f t="shared" ref="N24" si="9">SUM(E24:M24)</f>
        <v>3.93</v>
      </c>
      <c r="O24" s="94"/>
      <c r="P24" s="95"/>
      <c r="Q24" s="96">
        <f t="shared" ref="Q24" si="10">O24+P24</f>
        <v>0</v>
      </c>
      <c r="R24" s="97">
        <f t="shared" ref="R24" si="11">N24*O24</f>
        <v>0</v>
      </c>
      <c r="S24" s="98">
        <f t="shared" ref="S24" si="12">N24*P24</f>
        <v>0</v>
      </c>
      <c r="T24" s="96">
        <f t="shared" ref="T24" si="13">R24+S24</f>
        <v>0</v>
      </c>
      <c r="U24" s="139"/>
      <c r="W24" s="126"/>
    </row>
    <row r="25" spans="1:23" s="10" customFormat="1" ht="37.5" customHeight="1" x14ac:dyDescent="0.25">
      <c r="A25" s="91" t="s">
        <v>50</v>
      </c>
      <c r="B25" s="78"/>
      <c r="C25" s="19" t="s">
        <v>99</v>
      </c>
      <c r="D25" s="20" t="s">
        <v>35</v>
      </c>
      <c r="E25" s="70">
        <f>26.39</f>
        <v>26.39</v>
      </c>
      <c r="F25" s="70">
        <f>29.66</f>
        <v>29.66</v>
      </c>
      <c r="G25" s="70">
        <f>28.3</f>
        <v>28.3</v>
      </c>
      <c r="H25" s="70">
        <f>0</f>
        <v>0</v>
      </c>
      <c r="I25" s="70">
        <f>0</f>
        <v>0</v>
      </c>
      <c r="J25" s="70">
        <f>0</f>
        <v>0</v>
      </c>
      <c r="K25" s="70">
        <f>0</f>
        <v>0</v>
      </c>
      <c r="L25" s="70">
        <f>0</f>
        <v>0</v>
      </c>
      <c r="M25" s="70">
        <f>0</f>
        <v>0</v>
      </c>
      <c r="N25" s="79">
        <f t="shared" ref="N25" si="14">SUM(E25:M25)</f>
        <v>84.35</v>
      </c>
      <c r="O25" s="94"/>
      <c r="P25" s="95"/>
      <c r="Q25" s="96">
        <f t="shared" ref="Q25" si="15">O25+P25</f>
        <v>0</v>
      </c>
      <c r="R25" s="97">
        <f t="shared" ref="R25" si="16">N25*O25</f>
        <v>0</v>
      </c>
      <c r="S25" s="98">
        <f t="shared" ref="S25" si="17">N25*P25</f>
        <v>0</v>
      </c>
      <c r="T25" s="96">
        <f t="shared" si="4"/>
        <v>0</v>
      </c>
      <c r="U25" s="138"/>
      <c r="W25" s="126"/>
    </row>
    <row r="26" spans="1:23" s="10" customFormat="1" ht="37.5" customHeight="1" x14ac:dyDescent="0.25">
      <c r="A26" s="91" t="s">
        <v>51</v>
      </c>
      <c r="B26" s="78"/>
      <c r="C26" s="19" t="s">
        <v>127</v>
      </c>
      <c r="D26" s="20" t="s">
        <v>123</v>
      </c>
      <c r="E26" s="70">
        <f>0.356*0.82+15.274*0.23+1.44*0.72+0.374*0.46</f>
        <v>5.01</v>
      </c>
      <c r="F26" s="70">
        <f>0.417*0.46+0.85*0.72+0.391*0.46</f>
        <v>0.98</v>
      </c>
      <c r="G26" s="70">
        <f>0.36*0.59+2.234*0.72+0.364*0.46</f>
        <v>1.99</v>
      </c>
      <c r="H26" s="70">
        <f>0</f>
        <v>0</v>
      </c>
      <c r="I26" s="70">
        <f>0</f>
        <v>0</v>
      </c>
      <c r="J26" s="70">
        <f>0</f>
        <v>0</v>
      </c>
      <c r="K26" s="70">
        <f>0</f>
        <v>0</v>
      </c>
      <c r="L26" s="70">
        <f>0</f>
        <v>0</v>
      </c>
      <c r="M26" s="70">
        <f>0</f>
        <v>0</v>
      </c>
      <c r="N26" s="79">
        <f t="shared" ref="N26" si="18">SUM(E26:M26)</f>
        <v>7.98</v>
      </c>
      <c r="O26" s="94"/>
      <c r="P26" s="95"/>
      <c r="Q26" s="96">
        <f t="shared" ref="Q26" si="19">O26+P26</f>
        <v>0</v>
      </c>
      <c r="R26" s="97">
        <f t="shared" ref="R26" si="20">N26*O26</f>
        <v>0</v>
      </c>
      <c r="S26" s="98">
        <f t="shared" ref="S26" si="21">N26*P26</f>
        <v>0</v>
      </c>
      <c r="T26" s="96">
        <f t="shared" ref="T26" si="22">R26+S26</f>
        <v>0</v>
      </c>
      <c r="U26" s="139"/>
      <c r="W26" s="126"/>
    </row>
    <row r="27" spans="1:23" s="10" customFormat="1" ht="37.5" customHeight="1" x14ac:dyDescent="0.25">
      <c r="A27" s="104">
        <v>2</v>
      </c>
      <c r="B27" s="105"/>
      <c r="C27" s="106" t="s">
        <v>70</v>
      </c>
      <c r="D27" s="107"/>
      <c r="E27" s="107"/>
      <c r="F27" s="107"/>
      <c r="G27" s="107"/>
      <c r="H27" s="107"/>
      <c r="I27" s="107"/>
      <c r="J27" s="107"/>
      <c r="K27" s="107"/>
      <c r="L27" s="107"/>
      <c r="M27" s="107"/>
      <c r="N27" s="108"/>
      <c r="O27" s="109"/>
      <c r="P27" s="110"/>
      <c r="Q27" s="111"/>
      <c r="R27" s="113">
        <f>SUM(R28:R36)</f>
        <v>0</v>
      </c>
      <c r="S27" s="114">
        <f>SUM(S28:S36)</f>
        <v>0</v>
      </c>
      <c r="T27" s="115">
        <f>R27+S27</f>
        <v>0</v>
      </c>
      <c r="U27" s="112"/>
      <c r="W27" s="126"/>
    </row>
    <row r="28" spans="1:23" s="10" customFormat="1" ht="37.5" customHeight="1" x14ac:dyDescent="0.25">
      <c r="A28" s="91" t="s">
        <v>52</v>
      </c>
      <c r="B28" s="78"/>
      <c r="C28" s="19" t="s">
        <v>46</v>
      </c>
      <c r="D28" s="20" t="s">
        <v>35</v>
      </c>
      <c r="E28" s="70">
        <f>417.17</f>
        <v>417.17</v>
      </c>
      <c r="F28" s="70">
        <f>288.82</f>
        <v>288.82</v>
      </c>
      <c r="G28" s="70">
        <f>650.32</f>
        <v>650.32000000000005</v>
      </c>
      <c r="H28" s="70">
        <f>403.74</f>
        <v>403.74</v>
      </c>
      <c r="I28" s="70">
        <f>371</f>
        <v>371</v>
      </c>
      <c r="J28" s="70">
        <f>383.8</f>
        <v>383.8</v>
      </c>
      <c r="K28" s="70">
        <f>0</f>
        <v>0</v>
      </c>
      <c r="L28" s="70">
        <f>0</f>
        <v>0</v>
      </c>
      <c r="M28" s="70">
        <f>0</f>
        <v>0</v>
      </c>
      <c r="N28" s="79">
        <f t="shared" ref="N28:N33" si="23">SUM(E28:M28)</f>
        <v>2514.85</v>
      </c>
      <c r="O28" s="94"/>
      <c r="P28" s="95"/>
      <c r="Q28" s="96">
        <f t="shared" ref="Q28:Q33" si="24">O28+P28</f>
        <v>0</v>
      </c>
      <c r="R28" s="97">
        <f t="shared" ref="R28:R33" si="25">N28*O28</f>
        <v>0</v>
      </c>
      <c r="S28" s="98">
        <f t="shared" ref="S28:S33" si="26">N28*P28</f>
        <v>0</v>
      </c>
      <c r="T28" s="96">
        <f t="shared" ref="T28:T35" si="27">R28+S28</f>
        <v>0</v>
      </c>
      <c r="U28" s="137"/>
      <c r="W28" s="126"/>
    </row>
    <row r="29" spans="1:23" s="10" customFormat="1" ht="37.5" customHeight="1" x14ac:dyDescent="0.25">
      <c r="A29" s="91" t="s">
        <v>53</v>
      </c>
      <c r="B29" s="78"/>
      <c r="C29" s="19" t="s">
        <v>85</v>
      </c>
      <c r="D29" s="20" t="s">
        <v>35</v>
      </c>
      <c r="E29" s="70">
        <f>23.99</f>
        <v>23.99</v>
      </c>
      <c r="F29" s="70">
        <f>17.7</f>
        <v>17.7</v>
      </c>
      <c r="G29" s="70">
        <f>33.14</f>
        <v>33.14</v>
      </c>
      <c r="H29" s="70">
        <f>25.74</f>
        <v>25.74</v>
      </c>
      <c r="I29" s="70">
        <f>28.16</f>
        <v>28.16</v>
      </c>
      <c r="J29" s="70">
        <f>22.49</f>
        <v>22.49</v>
      </c>
      <c r="K29" s="70">
        <f>0</f>
        <v>0</v>
      </c>
      <c r="L29" s="70">
        <f>0</f>
        <v>0</v>
      </c>
      <c r="M29" s="70">
        <f>0</f>
        <v>0</v>
      </c>
      <c r="N29" s="79">
        <f t="shared" si="23"/>
        <v>151.22</v>
      </c>
      <c r="O29" s="94"/>
      <c r="P29" s="95"/>
      <c r="Q29" s="96">
        <f t="shared" si="24"/>
        <v>0</v>
      </c>
      <c r="R29" s="97">
        <f t="shared" si="25"/>
        <v>0</v>
      </c>
      <c r="S29" s="98">
        <f t="shared" si="26"/>
        <v>0</v>
      </c>
      <c r="T29" s="96">
        <f t="shared" si="27"/>
        <v>0</v>
      </c>
      <c r="U29" s="137"/>
      <c r="W29" s="126"/>
    </row>
    <row r="30" spans="1:23" s="10" customFormat="1" ht="37.5" customHeight="1" x14ac:dyDescent="0.25">
      <c r="A30" s="91" t="s">
        <v>54</v>
      </c>
      <c r="B30" s="78"/>
      <c r="C30" s="19" t="s">
        <v>47</v>
      </c>
      <c r="D30" s="20" t="s">
        <v>35</v>
      </c>
      <c r="E30" s="70">
        <f>21.27</f>
        <v>21.27</v>
      </c>
      <c r="F30" s="70">
        <f>13.74</f>
        <v>13.74</v>
      </c>
      <c r="G30" s="70">
        <f>22.83</f>
        <v>22.83</v>
      </c>
      <c r="H30" s="70">
        <f>14.29</f>
        <v>14.29</v>
      </c>
      <c r="I30" s="70">
        <f>5.81</f>
        <v>5.81</v>
      </c>
      <c r="J30" s="70">
        <f>10.45</f>
        <v>10.45</v>
      </c>
      <c r="K30" s="70">
        <f>0</f>
        <v>0</v>
      </c>
      <c r="L30" s="70">
        <f>0</f>
        <v>0</v>
      </c>
      <c r="M30" s="70">
        <f>0</f>
        <v>0</v>
      </c>
      <c r="N30" s="79">
        <f t="shared" si="23"/>
        <v>88.39</v>
      </c>
      <c r="O30" s="94"/>
      <c r="P30" s="95"/>
      <c r="Q30" s="96">
        <f t="shared" si="24"/>
        <v>0</v>
      </c>
      <c r="R30" s="97">
        <f t="shared" si="25"/>
        <v>0</v>
      </c>
      <c r="S30" s="98">
        <f t="shared" si="26"/>
        <v>0</v>
      </c>
      <c r="T30" s="96">
        <f t="shared" si="27"/>
        <v>0</v>
      </c>
      <c r="U30" s="137"/>
      <c r="W30" s="126"/>
    </row>
    <row r="31" spans="1:23" s="10" customFormat="1" ht="37.5" customHeight="1" x14ac:dyDescent="0.25">
      <c r="A31" s="91" t="s">
        <v>55</v>
      </c>
      <c r="B31" s="78"/>
      <c r="C31" s="19" t="s">
        <v>132</v>
      </c>
      <c r="D31" s="20" t="s">
        <v>35</v>
      </c>
      <c r="E31" s="70">
        <f>21.6</f>
        <v>21.6</v>
      </c>
      <c r="F31" s="70">
        <f>25.64</f>
        <v>25.64</v>
      </c>
      <c r="G31" s="70">
        <f>31</f>
        <v>31</v>
      </c>
      <c r="H31" s="70">
        <f>21.8</f>
        <v>21.8</v>
      </c>
      <c r="I31" s="70">
        <f>22.5</f>
        <v>22.5</v>
      </c>
      <c r="J31" s="70">
        <f>28.77</f>
        <v>28.77</v>
      </c>
      <c r="K31" s="70">
        <f>0</f>
        <v>0</v>
      </c>
      <c r="L31" s="70">
        <f>0</f>
        <v>0</v>
      </c>
      <c r="M31" s="70">
        <f>0</f>
        <v>0</v>
      </c>
      <c r="N31" s="79">
        <f t="shared" si="23"/>
        <v>151.31</v>
      </c>
      <c r="O31" s="94"/>
      <c r="P31" s="95"/>
      <c r="Q31" s="96">
        <f t="shared" si="24"/>
        <v>0</v>
      </c>
      <c r="R31" s="97">
        <f t="shared" si="25"/>
        <v>0</v>
      </c>
      <c r="S31" s="98">
        <f t="shared" si="26"/>
        <v>0</v>
      </c>
      <c r="T31" s="96">
        <f t="shared" si="27"/>
        <v>0</v>
      </c>
      <c r="U31" s="137"/>
      <c r="W31" s="126"/>
    </row>
    <row r="32" spans="1:23" s="10" customFormat="1" ht="37.5" customHeight="1" x14ac:dyDescent="0.25">
      <c r="A32" s="91" t="s">
        <v>56</v>
      </c>
      <c r="B32" s="78"/>
      <c r="C32" s="19" t="s">
        <v>82</v>
      </c>
      <c r="D32" s="20" t="s">
        <v>35</v>
      </c>
      <c r="E32" s="70">
        <f>12.41</f>
        <v>12.41</v>
      </c>
      <c r="F32" s="70">
        <f>1.74</f>
        <v>1.74</v>
      </c>
      <c r="G32" s="70">
        <f>4.74</f>
        <v>4.74</v>
      </c>
      <c r="H32" s="70">
        <f>7.66</f>
        <v>7.66</v>
      </c>
      <c r="I32" s="70">
        <f>2.93</f>
        <v>2.93</v>
      </c>
      <c r="J32" s="70">
        <f>2.79</f>
        <v>2.79</v>
      </c>
      <c r="K32" s="70">
        <f>0</f>
        <v>0</v>
      </c>
      <c r="L32" s="70">
        <f>0</f>
        <v>0</v>
      </c>
      <c r="M32" s="70">
        <f>0</f>
        <v>0</v>
      </c>
      <c r="N32" s="79">
        <f t="shared" si="23"/>
        <v>32.270000000000003</v>
      </c>
      <c r="O32" s="94"/>
      <c r="P32" s="95"/>
      <c r="Q32" s="96">
        <f t="shared" si="24"/>
        <v>0</v>
      </c>
      <c r="R32" s="97">
        <f t="shared" si="25"/>
        <v>0</v>
      </c>
      <c r="S32" s="98">
        <f t="shared" si="26"/>
        <v>0</v>
      </c>
      <c r="T32" s="96">
        <f t="shared" si="27"/>
        <v>0</v>
      </c>
      <c r="U32" s="137"/>
      <c r="W32" s="126"/>
    </row>
    <row r="33" spans="1:23" s="10" customFormat="1" ht="37.5" customHeight="1" x14ac:dyDescent="0.25">
      <c r="A33" s="91" t="s">
        <v>57</v>
      </c>
      <c r="B33" s="78"/>
      <c r="C33" s="19" t="s">
        <v>83</v>
      </c>
      <c r="D33" s="20" t="s">
        <v>35</v>
      </c>
      <c r="E33" s="70">
        <f>9.17</f>
        <v>9.17</v>
      </c>
      <c r="F33" s="70">
        <f>5.94</f>
        <v>5.94</v>
      </c>
      <c r="G33" s="70">
        <f>6.58</f>
        <v>6.58</v>
      </c>
      <c r="H33" s="70">
        <f>5.24</f>
        <v>5.24</v>
      </c>
      <c r="I33" s="70">
        <f>3.38</f>
        <v>3.38</v>
      </c>
      <c r="J33" s="70">
        <f>7.39</f>
        <v>7.39</v>
      </c>
      <c r="K33" s="70">
        <f>0</f>
        <v>0</v>
      </c>
      <c r="L33" s="70">
        <f>0</f>
        <v>0</v>
      </c>
      <c r="M33" s="70">
        <f>0</f>
        <v>0</v>
      </c>
      <c r="N33" s="79">
        <f t="shared" si="23"/>
        <v>37.700000000000003</v>
      </c>
      <c r="O33" s="94"/>
      <c r="P33" s="95"/>
      <c r="Q33" s="96">
        <f t="shared" si="24"/>
        <v>0</v>
      </c>
      <c r="R33" s="97">
        <f t="shared" si="25"/>
        <v>0</v>
      </c>
      <c r="S33" s="98">
        <f t="shared" si="26"/>
        <v>0</v>
      </c>
      <c r="T33" s="96">
        <f t="shared" si="27"/>
        <v>0</v>
      </c>
      <c r="U33" s="137"/>
      <c r="W33" s="126"/>
    </row>
    <row r="34" spans="1:23" s="10" customFormat="1" ht="37.5" customHeight="1" x14ac:dyDescent="0.25">
      <c r="A34" s="91" t="s">
        <v>58</v>
      </c>
      <c r="B34" s="78"/>
      <c r="C34" s="19" t="s">
        <v>84</v>
      </c>
      <c r="D34" s="20" t="s">
        <v>35</v>
      </c>
      <c r="E34" s="70">
        <f>1.24</f>
        <v>1.24</v>
      </c>
      <c r="F34" s="70">
        <f>0</f>
        <v>0</v>
      </c>
      <c r="G34" s="70">
        <f>0.55</f>
        <v>0.55000000000000004</v>
      </c>
      <c r="H34" s="70">
        <f>0.56</f>
        <v>0.56000000000000005</v>
      </c>
      <c r="I34" s="70">
        <f>0</f>
        <v>0</v>
      </c>
      <c r="J34" s="70">
        <f>0</f>
        <v>0</v>
      </c>
      <c r="K34" s="70">
        <f>0</f>
        <v>0</v>
      </c>
      <c r="L34" s="70">
        <f>0</f>
        <v>0</v>
      </c>
      <c r="M34" s="70">
        <f>0</f>
        <v>0</v>
      </c>
      <c r="N34" s="79">
        <f t="shared" ref="N34" si="28">SUM(E34:M34)</f>
        <v>2.35</v>
      </c>
      <c r="O34" s="94"/>
      <c r="P34" s="95"/>
      <c r="Q34" s="96">
        <f t="shared" ref="Q34" si="29">O34+P34</f>
        <v>0</v>
      </c>
      <c r="R34" s="97">
        <f t="shared" ref="R34" si="30">N34*O34</f>
        <v>0</v>
      </c>
      <c r="S34" s="98">
        <f t="shared" ref="S34" si="31">N34*P34</f>
        <v>0</v>
      </c>
      <c r="T34" s="96">
        <f t="shared" ref="T34" si="32">R34+S34</f>
        <v>0</v>
      </c>
      <c r="U34" s="139"/>
      <c r="W34" s="126"/>
    </row>
    <row r="35" spans="1:23" s="10" customFormat="1" ht="37.5" customHeight="1" x14ac:dyDescent="0.25">
      <c r="A35" s="91" t="s">
        <v>59</v>
      </c>
      <c r="B35" s="78"/>
      <c r="C35" s="19" t="s">
        <v>99</v>
      </c>
      <c r="D35" s="20" t="s">
        <v>35</v>
      </c>
      <c r="E35" s="70">
        <f>24.23</f>
        <v>24.23</v>
      </c>
      <c r="F35" s="70">
        <f>25.33</f>
        <v>25.33</v>
      </c>
      <c r="G35" s="70">
        <f>12.13</f>
        <v>12.13</v>
      </c>
      <c r="H35" s="70">
        <f>0</f>
        <v>0</v>
      </c>
      <c r="I35" s="70">
        <f>6.44</f>
        <v>6.44</v>
      </c>
      <c r="J35" s="70">
        <f>23.56</f>
        <v>23.56</v>
      </c>
      <c r="K35" s="70">
        <f>0</f>
        <v>0</v>
      </c>
      <c r="L35" s="70">
        <f>0</f>
        <v>0</v>
      </c>
      <c r="M35" s="70">
        <f>0</f>
        <v>0</v>
      </c>
      <c r="N35" s="79">
        <f t="shared" ref="N35" si="33">SUM(E35:M35)</f>
        <v>91.69</v>
      </c>
      <c r="O35" s="94"/>
      <c r="P35" s="95"/>
      <c r="Q35" s="96">
        <f t="shared" ref="Q35" si="34">O35+P35</f>
        <v>0</v>
      </c>
      <c r="R35" s="97">
        <f t="shared" ref="R35" si="35">N35*O35</f>
        <v>0</v>
      </c>
      <c r="S35" s="98">
        <f t="shared" ref="S35" si="36">N35*P35</f>
        <v>0</v>
      </c>
      <c r="T35" s="96">
        <f t="shared" si="27"/>
        <v>0</v>
      </c>
      <c r="U35" s="138"/>
      <c r="W35" s="126"/>
    </row>
    <row r="36" spans="1:23" s="10" customFormat="1" ht="37.5" customHeight="1" x14ac:dyDescent="0.25">
      <c r="A36" s="91" t="s">
        <v>60</v>
      </c>
      <c r="B36" s="78"/>
      <c r="C36" s="19" t="s">
        <v>127</v>
      </c>
      <c r="D36" s="20" t="s">
        <v>123</v>
      </c>
      <c r="E36" s="70">
        <f>0.386*0.46+0.483*0.84+0.272*0.46</f>
        <v>0.71</v>
      </c>
      <c r="F36" s="70">
        <f>2.21*0.84</f>
        <v>1.86</v>
      </c>
      <c r="G36" s="70">
        <f>0.272*0.46</f>
        <v>0.13</v>
      </c>
      <c r="H36" s="70">
        <f>0.277*0.46+0.515*0.72+2.178*0.84</f>
        <v>2.33</v>
      </c>
      <c r="I36" s="70">
        <f>0.079*0.84</f>
        <v>7.0000000000000007E-2</v>
      </c>
      <c r="J36" s="70">
        <f>0</f>
        <v>0</v>
      </c>
      <c r="K36" s="70">
        <f>0</f>
        <v>0</v>
      </c>
      <c r="L36" s="70">
        <f>0</f>
        <v>0</v>
      </c>
      <c r="M36" s="70">
        <f>0</f>
        <v>0</v>
      </c>
      <c r="N36" s="79">
        <f t="shared" ref="N36" si="37">SUM(E36:M36)</f>
        <v>5.0999999999999996</v>
      </c>
      <c r="O36" s="94"/>
      <c r="P36" s="95"/>
      <c r="Q36" s="96">
        <f t="shared" ref="Q36" si="38">O36+P36</f>
        <v>0</v>
      </c>
      <c r="R36" s="97">
        <f t="shared" ref="R36" si="39">N36*O36</f>
        <v>0</v>
      </c>
      <c r="S36" s="98">
        <f t="shared" ref="S36" si="40">N36*P36</f>
        <v>0</v>
      </c>
      <c r="T36" s="96">
        <f t="shared" ref="T36" si="41">R36+S36</f>
        <v>0</v>
      </c>
      <c r="U36" s="139"/>
      <c r="W36" s="126"/>
    </row>
    <row r="37" spans="1:23" s="10" customFormat="1" ht="37.5" customHeight="1" x14ac:dyDescent="0.25">
      <c r="A37" s="104">
        <v>3</v>
      </c>
      <c r="B37" s="105"/>
      <c r="C37" s="106" t="s">
        <v>71</v>
      </c>
      <c r="D37" s="107"/>
      <c r="E37" s="107"/>
      <c r="F37" s="107"/>
      <c r="G37" s="107"/>
      <c r="H37" s="107"/>
      <c r="I37" s="107"/>
      <c r="J37" s="107"/>
      <c r="K37" s="107"/>
      <c r="L37" s="107"/>
      <c r="M37" s="107"/>
      <c r="N37" s="108"/>
      <c r="O37" s="109"/>
      <c r="P37" s="110"/>
      <c r="Q37" s="111"/>
      <c r="R37" s="113">
        <f>SUM(R38:R46)</f>
        <v>0</v>
      </c>
      <c r="S37" s="114">
        <f>SUM(S38:S46)</f>
        <v>0</v>
      </c>
      <c r="T37" s="115">
        <f>R37+S37</f>
        <v>0</v>
      </c>
      <c r="U37" s="112"/>
      <c r="W37" s="126"/>
    </row>
    <row r="38" spans="1:23" s="10" customFormat="1" ht="37.5" customHeight="1" x14ac:dyDescent="0.25">
      <c r="A38" s="91" t="s">
        <v>64</v>
      </c>
      <c r="B38" s="78"/>
      <c r="C38" s="19" t="s">
        <v>46</v>
      </c>
      <c r="D38" s="20" t="s">
        <v>35</v>
      </c>
      <c r="E38" s="70">
        <f>302.54</f>
        <v>302.54000000000002</v>
      </c>
      <c r="F38" s="70">
        <f>630.21</f>
        <v>630.21</v>
      </c>
      <c r="G38" s="70">
        <f>409.51</f>
        <v>409.51</v>
      </c>
      <c r="H38" s="70">
        <f>440.6</f>
        <v>440.6</v>
      </c>
      <c r="I38" s="70">
        <f>0</f>
        <v>0</v>
      </c>
      <c r="J38" s="70">
        <f>0</f>
        <v>0</v>
      </c>
      <c r="K38" s="70">
        <f>0</f>
        <v>0</v>
      </c>
      <c r="L38" s="70">
        <f>0</f>
        <v>0</v>
      </c>
      <c r="M38" s="70">
        <f>0</f>
        <v>0</v>
      </c>
      <c r="N38" s="79">
        <f t="shared" ref="N38:N44" si="42">SUM(E38:M38)</f>
        <v>1782.86</v>
      </c>
      <c r="O38" s="94"/>
      <c r="P38" s="95"/>
      <c r="Q38" s="96">
        <f t="shared" ref="Q38:Q44" si="43">O38+P38</f>
        <v>0</v>
      </c>
      <c r="R38" s="97">
        <f t="shared" ref="R38:R44" si="44">N38*O38</f>
        <v>0</v>
      </c>
      <c r="S38" s="98">
        <f t="shared" ref="S38:S44" si="45">N38*P38</f>
        <v>0</v>
      </c>
      <c r="T38" s="96">
        <f t="shared" ref="T38:T45" si="46">R38+S38</f>
        <v>0</v>
      </c>
      <c r="U38" s="137"/>
      <c r="W38" s="126"/>
    </row>
    <row r="39" spans="1:23" s="10" customFormat="1" ht="37.5" customHeight="1" x14ac:dyDescent="0.25">
      <c r="A39" s="91" t="s">
        <v>65</v>
      </c>
      <c r="B39" s="78"/>
      <c r="C39" s="19" t="s">
        <v>85</v>
      </c>
      <c r="D39" s="20" t="s">
        <v>35</v>
      </c>
      <c r="E39" s="70">
        <f>18.86</f>
        <v>18.86</v>
      </c>
      <c r="F39" s="70">
        <f>34.48</f>
        <v>34.479999999999997</v>
      </c>
      <c r="G39" s="70">
        <f>25.01</f>
        <v>25.01</v>
      </c>
      <c r="H39" s="70">
        <f>27.69</f>
        <v>27.69</v>
      </c>
      <c r="I39" s="70">
        <f>0</f>
        <v>0</v>
      </c>
      <c r="J39" s="70">
        <f>0</f>
        <v>0</v>
      </c>
      <c r="K39" s="70">
        <f>0</f>
        <v>0</v>
      </c>
      <c r="L39" s="70">
        <f>0</f>
        <v>0</v>
      </c>
      <c r="M39" s="70">
        <f>0</f>
        <v>0</v>
      </c>
      <c r="N39" s="79">
        <f t="shared" si="42"/>
        <v>106.04</v>
      </c>
      <c r="O39" s="94"/>
      <c r="P39" s="95"/>
      <c r="Q39" s="96">
        <f t="shared" si="43"/>
        <v>0</v>
      </c>
      <c r="R39" s="97">
        <f t="shared" si="44"/>
        <v>0</v>
      </c>
      <c r="S39" s="98">
        <f t="shared" si="45"/>
        <v>0</v>
      </c>
      <c r="T39" s="96">
        <f t="shared" si="46"/>
        <v>0</v>
      </c>
      <c r="U39" s="137"/>
      <c r="W39" s="126"/>
    </row>
    <row r="40" spans="1:23" s="10" customFormat="1" ht="37.5" customHeight="1" x14ac:dyDescent="0.25">
      <c r="A40" s="91" t="s">
        <v>86</v>
      </c>
      <c r="B40" s="78"/>
      <c r="C40" s="19" t="s">
        <v>47</v>
      </c>
      <c r="D40" s="20" t="s">
        <v>35</v>
      </c>
      <c r="E40" s="70">
        <f>17.19</f>
        <v>17.190000000000001</v>
      </c>
      <c r="F40" s="70">
        <f>55.73</f>
        <v>55.73</v>
      </c>
      <c r="G40" s="70">
        <f>18.16</f>
        <v>18.16</v>
      </c>
      <c r="H40" s="70">
        <f>25.61</f>
        <v>25.61</v>
      </c>
      <c r="I40" s="70">
        <f>0</f>
        <v>0</v>
      </c>
      <c r="J40" s="70">
        <f>0</f>
        <v>0</v>
      </c>
      <c r="K40" s="70">
        <f>0</f>
        <v>0</v>
      </c>
      <c r="L40" s="70">
        <f>0</f>
        <v>0</v>
      </c>
      <c r="M40" s="70">
        <f>0</f>
        <v>0</v>
      </c>
      <c r="N40" s="79">
        <f t="shared" si="42"/>
        <v>116.69</v>
      </c>
      <c r="O40" s="94"/>
      <c r="P40" s="95"/>
      <c r="Q40" s="96">
        <f t="shared" si="43"/>
        <v>0</v>
      </c>
      <c r="R40" s="97">
        <f t="shared" si="44"/>
        <v>0</v>
      </c>
      <c r="S40" s="98">
        <f t="shared" si="45"/>
        <v>0</v>
      </c>
      <c r="T40" s="96">
        <f t="shared" si="46"/>
        <v>0</v>
      </c>
      <c r="U40" s="137"/>
      <c r="W40" s="126"/>
    </row>
    <row r="41" spans="1:23" s="10" customFormat="1" ht="37.5" customHeight="1" x14ac:dyDescent="0.25">
      <c r="A41" s="91" t="s">
        <v>87</v>
      </c>
      <c r="B41" s="78"/>
      <c r="C41" s="19" t="s">
        <v>132</v>
      </c>
      <c r="D41" s="20" t="s">
        <v>35</v>
      </c>
      <c r="E41" s="70">
        <f>25.08</f>
        <v>25.08</v>
      </c>
      <c r="F41" s="70">
        <f>29.38</f>
        <v>29.38</v>
      </c>
      <c r="G41" s="70">
        <f>27.66</f>
        <v>27.66</v>
      </c>
      <c r="H41" s="70">
        <f>17.59</f>
        <v>17.59</v>
      </c>
      <c r="I41" s="70">
        <f>0</f>
        <v>0</v>
      </c>
      <c r="J41" s="70">
        <f>0</f>
        <v>0</v>
      </c>
      <c r="K41" s="70">
        <f>0</f>
        <v>0</v>
      </c>
      <c r="L41" s="70">
        <f>0</f>
        <v>0</v>
      </c>
      <c r="M41" s="70">
        <f>0</f>
        <v>0</v>
      </c>
      <c r="N41" s="79">
        <f t="shared" si="42"/>
        <v>99.71</v>
      </c>
      <c r="O41" s="94"/>
      <c r="P41" s="95"/>
      <c r="Q41" s="96">
        <f t="shared" si="43"/>
        <v>0</v>
      </c>
      <c r="R41" s="97">
        <f t="shared" si="44"/>
        <v>0</v>
      </c>
      <c r="S41" s="98">
        <f t="shared" si="45"/>
        <v>0</v>
      </c>
      <c r="T41" s="96">
        <f t="shared" si="46"/>
        <v>0</v>
      </c>
      <c r="U41" s="137"/>
      <c r="W41" s="126"/>
    </row>
    <row r="42" spans="1:23" s="10" customFormat="1" ht="37.5" customHeight="1" x14ac:dyDescent="0.25">
      <c r="A42" s="91" t="s">
        <v>88</v>
      </c>
      <c r="B42" s="78"/>
      <c r="C42" s="19" t="s">
        <v>82</v>
      </c>
      <c r="D42" s="20" t="s">
        <v>35</v>
      </c>
      <c r="E42" s="70">
        <f>1.78</f>
        <v>1.78</v>
      </c>
      <c r="F42" s="70">
        <f>5.26</f>
        <v>5.26</v>
      </c>
      <c r="G42" s="70">
        <f>0</f>
        <v>0</v>
      </c>
      <c r="H42" s="70">
        <f>3.32</f>
        <v>3.32</v>
      </c>
      <c r="I42" s="70">
        <f>0</f>
        <v>0</v>
      </c>
      <c r="J42" s="70">
        <f>0</f>
        <v>0</v>
      </c>
      <c r="K42" s="70">
        <f>0</f>
        <v>0</v>
      </c>
      <c r="L42" s="70">
        <f>0</f>
        <v>0</v>
      </c>
      <c r="M42" s="70">
        <f>0</f>
        <v>0</v>
      </c>
      <c r="N42" s="79">
        <f t="shared" si="42"/>
        <v>10.36</v>
      </c>
      <c r="O42" s="94"/>
      <c r="P42" s="95"/>
      <c r="Q42" s="96">
        <f t="shared" si="43"/>
        <v>0</v>
      </c>
      <c r="R42" s="97">
        <f t="shared" si="44"/>
        <v>0</v>
      </c>
      <c r="S42" s="98">
        <f t="shared" si="45"/>
        <v>0</v>
      </c>
      <c r="T42" s="96">
        <f t="shared" si="46"/>
        <v>0</v>
      </c>
      <c r="U42" s="137"/>
      <c r="W42" s="126"/>
    </row>
    <row r="43" spans="1:23" s="10" customFormat="1" ht="37.5" customHeight="1" x14ac:dyDescent="0.25">
      <c r="A43" s="91" t="s">
        <v>89</v>
      </c>
      <c r="B43" s="78"/>
      <c r="C43" s="19" t="s">
        <v>83</v>
      </c>
      <c r="D43" s="20" t="s">
        <v>35</v>
      </c>
      <c r="E43" s="70">
        <f>3.32</f>
        <v>3.32</v>
      </c>
      <c r="F43" s="70">
        <f>6.72</f>
        <v>6.72</v>
      </c>
      <c r="G43" s="70">
        <f>5.53</f>
        <v>5.53</v>
      </c>
      <c r="H43" s="70">
        <f>2.76</f>
        <v>2.76</v>
      </c>
      <c r="I43" s="70">
        <f>0</f>
        <v>0</v>
      </c>
      <c r="J43" s="70">
        <f>0</f>
        <v>0</v>
      </c>
      <c r="K43" s="70">
        <f>0</f>
        <v>0</v>
      </c>
      <c r="L43" s="70">
        <f>0</f>
        <v>0</v>
      </c>
      <c r="M43" s="70">
        <f>0</f>
        <v>0</v>
      </c>
      <c r="N43" s="79">
        <f t="shared" si="42"/>
        <v>18.329999999999998</v>
      </c>
      <c r="O43" s="94"/>
      <c r="P43" s="95"/>
      <c r="Q43" s="96">
        <f t="shared" si="43"/>
        <v>0</v>
      </c>
      <c r="R43" s="97">
        <f t="shared" si="44"/>
        <v>0</v>
      </c>
      <c r="S43" s="98">
        <f t="shared" si="45"/>
        <v>0</v>
      </c>
      <c r="T43" s="96">
        <f t="shared" si="46"/>
        <v>0</v>
      </c>
      <c r="U43" s="137"/>
      <c r="W43" s="126"/>
    </row>
    <row r="44" spans="1:23" s="10" customFormat="1" ht="37.5" customHeight="1" x14ac:dyDescent="0.25">
      <c r="A44" s="91" t="s">
        <v>90</v>
      </c>
      <c r="B44" s="78"/>
      <c r="C44" s="19" t="s">
        <v>84</v>
      </c>
      <c r="D44" s="20" t="s">
        <v>35</v>
      </c>
      <c r="E44" s="70">
        <f>1.95</f>
        <v>1.95</v>
      </c>
      <c r="F44" s="70">
        <f>1.33</f>
        <v>1.33</v>
      </c>
      <c r="G44" s="70">
        <f>0</f>
        <v>0</v>
      </c>
      <c r="H44" s="70">
        <f>0</f>
        <v>0</v>
      </c>
      <c r="I44" s="70">
        <f>0</f>
        <v>0</v>
      </c>
      <c r="J44" s="70">
        <f>0</f>
        <v>0</v>
      </c>
      <c r="K44" s="70">
        <f>0</f>
        <v>0</v>
      </c>
      <c r="L44" s="70">
        <f>0</f>
        <v>0</v>
      </c>
      <c r="M44" s="70">
        <f>0</f>
        <v>0</v>
      </c>
      <c r="N44" s="79">
        <f t="shared" si="42"/>
        <v>3.28</v>
      </c>
      <c r="O44" s="94"/>
      <c r="P44" s="95"/>
      <c r="Q44" s="96">
        <f t="shared" si="43"/>
        <v>0</v>
      </c>
      <c r="R44" s="97">
        <f t="shared" si="44"/>
        <v>0</v>
      </c>
      <c r="S44" s="98">
        <f t="shared" si="45"/>
        <v>0</v>
      </c>
      <c r="T44" s="96">
        <f t="shared" si="46"/>
        <v>0</v>
      </c>
      <c r="U44" s="137"/>
      <c r="W44" s="126"/>
    </row>
    <row r="45" spans="1:23" s="10" customFormat="1" ht="37.5" customHeight="1" x14ac:dyDescent="0.25">
      <c r="A45" s="91" t="s">
        <v>102</v>
      </c>
      <c r="B45" s="78"/>
      <c r="C45" s="19" t="s">
        <v>99</v>
      </c>
      <c r="D45" s="20" t="s">
        <v>35</v>
      </c>
      <c r="E45" s="70">
        <f>13.83</f>
        <v>13.83</v>
      </c>
      <c r="F45" s="70">
        <f>37.16</f>
        <v>37.159999999999997</v>
      </c>
      <c r="G45" s="70">
        <f>0</f>
        <v>0</v>
      </c>
      <c r="H45" s="70">
        <f>18.45</f>
        <v>18.45</v>
      </c>
      <c r="I45" s="70">
        <f>0</f>
        <v>0</v>
      </c>
      <c r="J45" s="70">
        <f>0</f>
        <v>0</v>
      </c>
      <c r="K45" s="70">
        <f>0</f>
        <v>0</v>
      </c>
      <c r="L45" s="70">
        <f>0</f>
        <v>0</v>
      </c>
      <c r="M45" s="70">
        <f>0</f>
        <v>0</v>
      </c>
      <c r="N45" s="79">
        <f t="shared" ref="N45" si="47">SUM(E45:M45)</f>
        <v>69.44</v>
      </c>
      <c r="O45" s="94"/>
      <c r="P45" s="95"/>
      <c r="Q45" s="96">
        <f t="shared" ref="Q45" si="48">O45+P45</f>
        <v>0</v>
      </c>
      <c r="R45" s="97">
        <f t="shared" ref="R45" si="49">N45*O45</f>
        <v>0</v>
      </c>
      <c r="S45" s="98">
        <f t="shared" ref="S45" si="50">N45*P45</f>
        <v>0</v>
      </c>
      <c r="T45" s="96">
        <f t="shared" si="46"/>
        <v>0</v>
      </c>
      <c r="U45" s="138"/>
      <c r="W45" s="126"/>
    </row>
    <row r="46" spans="1:23" s="10" customFormat="1" ht="37.5" customHeight="1" x14ac:dyDescent="0.25">
      <c r="A46" s="91" t="s">
        <v>124</v>
      </c>
      <c r="B46" s="78"/>
      <c r="C46" s="19" t="s">
        <v>127</v>
      </c>
      <c r="D46" s="20" t="s">
        <v>123</v>
      </c>
      <c r="E46" s="70">
        <f>2.287*0.72+0.361*1.86</f>
        <v>2.3199999999999998</v>
      </c>
      <c r="F46" s="70">
        <f>0.137*1.53</f>
        <v>0.21</v>
      </c>
      <c r="G46" s="70">
        <f>2.554*0.72</f>
        <v>1.84</v>
      </c>
      <c r="H46" s="70">
        <f>0</f>
        <v>0</v>
      </c>
      <c r="I46" s="70">
        <f>0</f>
        <v>0</v>
      </c>
      <c r="J46" s="70">
        <f>0</f>
        <v>0</v>
      </c>
      <c r="K46" s="70">
        <f>0</f>
        <v>0</v>
      </c>
      <c r="L46" s="70">
        <f>0</f>
        <v>0</v>
      </c>
      <c r="M46" s="70">
        <f>0</f>
        <v>0</v>
      </c>
      <c r="N46" s="79">
        <f t="shared" ref="N46" si="51">SUM(E46:M46)</f>
        <v>4.37</v>
      </c>
      <c r="O46" s="94"/>
      <c r="P46" s="95"/>
      <c r="Q46" s="96">
        <f t="shared" ref="Q46" si="52">O46+P46</f>
        <v>0</v>
      </c>
      <c r="R46" s="97">
        <f t="shared" ref="R46" si="53">N46*O46</f>
        <v>0</v>
      </c>
      <c r="S46" s="98">
        <f t="shared" ref="S46" si="54">N46*P46</f>
        <v>0</v>
      </c>
      <c r="T46" s="96">
        <f t="shared" ref="T46" si="55">R46+S46</f>
        <v>0</v>
      </c>
      <c r="U46" s="139"/>
      <c r="W46" s="126"/>
    </row>
    <row r="47" spans="1:23" s="10" customFormat="1" ht="37.5" customHeight="1" x14ac:dyDescent="0.25">
      <c r="A47" s="104">
        <v>4</v>
      </c>
      <c r="B47" s="105"/>
      <c r="C47" s="106" t="s">
        <v>72</v>
      </c>
      <c r="D47" s="107"/>
      <c r="E47" s="107"/>
      <c r="F47" s="107"/>
      <c r="G47" s="107"/>
      <c r="H47" s="107"/>
      <c r="I47" s="107"/>
      <c r="J47" s="107"/>
      <c r="K47" s="107"/>
      <c r="L47" s="107"/>
      <c r="M47" s="107"/>
      <c r="N47" s="108"/>
      <c r="O47" s="109"/>
      <c r="P47" s="110"/>
      <c r="Q47" s="111"/>
      <c r="R47" s="113">
        <f>SUM(R48:R56)</f>
        <v>0</v>
      </c>
      <c r="S47" s="114">
        <f>SUM(S48:S56)</f>
        <v>0</v>
      </c>
      <c r="T47" s="115">
        <f>R47+S47</f>
        <v>0</v>
      </c>
      <c r="U47" s="112"/>
      <c r="W47" s="126"/>
    </row>
    <row r="48" spans="1:23" s="10" customFormat="1" ht="37.5" customHeight="1" x14ac:dyDescent="0.25">
      <c r="A48" s="91" t="s">
        <v>91</v>
      </c>
      <c r="B48" s="78"/>
      <c r="C48" s="19" t="s">
        <v>46</v>
      </c>
      <c r="D48" s="20" t="s">
        <v>35</v>
      </c>
      <c r="E48" s="70">
        <f>437.86</f>
        <v>437.86</v>
      </c>
      <c r="F48" s="70">
        <f>291.16</f>
        <v>291.16000000000003</v>
      </c>
      <c r="G48" s="70">
        <f>489.57</f>
        <v>489.57</v>
      </c>
      <c r="H48" s="70">
        <f>528.37</f>
        <v>528.37</v>
      </c>
      <c r="I48" s="70">
        <f>356.01</f>
        <v>356.01</v>
      </c>
      <c r="J48" s="70">
        <f>407.22</f>
        <v>407.22</v>
      </c>
      <c r="K48" s="70">
        <f>0</f>
        <v>0</v>
      </c>
      <c r="L48" s="70">
        <f>0</f>
        <v>0</v>
      </c>
      <c r="M48" s="70">
        <f>0</f>
        <v>0</v>
      </c>
      <c r="N48" s="79">
        <f t="shared" ref="N48:N54" si="56">SUM(E48:M48)</f>
        <v>2510.19</v>
      </c>
      <c r="O48" s="94"/>
      <c r="P48" s="95"/>
      <c r="Q48" s="96">
        <f t="shared" ref="Q48:Q54" si="57">O48+P48</f>
        <v>0</v>
      </c>
      <c r="R48" s="97">
        <f t="shared" ref="R48:R54" si="58">N48*O48</f>
        <v>0</v>
      </c>
      <c r="S48" s="98">
        <f t="shared" ref="S48:S54" si="59">N48*P48</f>
        <v>0</v>
      </c>
      <c r="T48" s="96">
        <f t="shared" ref="T48:T55" si="60">R48+S48</f>
        <v>0</v>
      </c>
      <c r="U48" s="137"/>
      <c r="W48" s="126"/>
    </row>
    <row r="49" spans="1:23" s="10" customFormat="1" ht="37.5" customHeight="1" x14ac:dyDescent="0.25">
      <c r="A49" s="91" t="s">
        <v>92</v>
      </c>
      <c r="B49" s="78"/>
      <c r="C49" s="19" t="s">
        <v>85</v>
      </c>
      <c r="D49" s="20" t="s">
        <v>35</v>
      </c>
      <c r="E49" s="70">
        <f>20.96</f>
        <v>20.96</v>
      </c>
      <c r="F49" s="70">
        <f>13.65</f>
        <v>13.65</v>
      </c>
      <c r="G49" s="70">
        <f>21.39</f>
        <v>21.39</v>
      </c>
      <c r="H49" s="70">
        <f>17.5</f>
        <v>17.5</v>
      </c>
      <c r="I49" s="70">
        <f>21.41</f>
        <v>21.41</v>
      </c>
      <c r="J49" s="70">
        <f>12.47</f>
        <v>12.47</v>
      </c>
      <c r="K49" s="70">
        <f>0</f>
        <v>0</v>
      </c>
      <c r="L49" s="70">
        <f>0</f>
        <v>0</v>
      </c>
      <c r="M49" s="70">
        <f>0</f>
        <v>0</v>
      </c>
      <c r="N49" s="79">
        <f t="shared" si="56"/>
        <v>107.38</v>
      </c>
      <c r="O49" s="94"/>
      <c r="P49" s="95"/>
      <c r="Q49" s="96">
        <f t="shared" si="57"/>
        <v>0</v>
      </c>
      <c r="R49" s="97">
        <f t="shared" si="58"/>
        <v>0</v>
      </c>
      <c r="S49" s="98">
        <f t="shared" si="59"/>
        <v>0</v>
      </c>
      <c r="T49" s="96">
        <f t="shared" si="60"/>
        <v>0</v>
      </c>
      <c r="U49" s="137"/>
      <c r="W49" s="126"/>
    </row>
    <row r="50" spans="1:23" s="10" customFormat="1" ht="37.5" customHeight="1" x14ac:dyDescent="0.25">
      <c r="A50" s="91" t="s">
        <v>93</v>
      </c>
      <c r="B50" s="78"/>
      <c r="C50" s="19" t="s">
        <v>47</v>
      </c>
      <c r="D50" s="20" t="s">
        <v>35</v>
      </c>
      <c r="E50" s="70">
        <f>31.93</f>
        <v>31.93</v>
      </c>
      <c r="F50" s="70">
        <f>11.06</f>
        <v>11.06</v>
      </c>
      <c r="G50" s="70">
        <f>34.29</f>
        <v>34.29</v>
      </c>
      <c r="H50" s="70">
        <f>14.85</f>
        <v>14.85</v>
      </c>
      <c r="I50" s="70">
        <f>18.84</f>
        <v>18.84</v>
      </c>
      <c r="J50" s="70">
        <f>14.45</f>
        <v>14.45</v>
      </c>
      <c r="K50" s="70">
        <f>0</f>
        <v>0</v>
      </c>
      <c r="L50" s="70">
        <f>0</f>
        <v>0</v>
      </c>
      <c r="M50" s="70">
        <f>0</f>
        <v>0</v>
      </c>
      <c r="N50" s="79">
        <f t="shared" si="56"/>
        <v>125.42</v>
      </c>
      <c r="O50" s="94"/>
      <c r="P50" s="95"/>
      <c r="Q50" s="96">
        <f t="shared" si="57"/>
        <v>0</v>
      </c>
      <c r="R50" s="97">
        <f t="shared" si="58"/>
        <v>0</v>
      </c>
      <c r="S50" s="98">
        <f t="shared" si="59"/>
        <v>0</v>
      </c>
      <c r="T50" s="96">
        <f t="shared" si="60"/>
        <v>0</v>
      </c>
      <c r="U50" s="137"/>
      <c r="W50" s="126"/>
    </row>
    <row r="51" spans="1:23" s="10" customFormat="1" ht="37.5" customHeight="1" x14ac:dyDescent="0.25">
      <c r="A51" s="91" t="s">
        <v>94</v>
      </c>
      <c r="B51" s="78"/>
      <c r="C51" s="19" t="s">
        <v>132</v>
      </c>
      <c r="D51" s="20" t="s">
        <v>35</v>
      </c>
      <c r="E51" s="70">
        <f>16.25</f>
        <v>16.25</v>
      </c>
      <c r="F51" s="70">
        <f>15.6</f>
        <v>15.6</v>
      </c>
      <c r="G51" s="70">
        <f>19.42</f>
        <v>19.420000000000002</v>
      </c>
      <c r="H51" s="70">
        <f>22.29</f>
        <v>22.29</v>
      </c>
      <c r="I51" s="70">
        <f>11.14</f>
        <v>11.14</v>
      </c>
      <c r="J51" s="70">
        <f>16.82</f>
        <v>16.82</v>
      </c>
      <c r="K51" s="70">
        <f>0</f>
        <v>0</v>
      </c>
      <c r="L51" s="70">
        <f>0</f>
        <v>0</v>
      </c>
      <c r="M51" s="70">
        <f>0</f>
        <v>0</v>
      </c>
      <c r="N51" s="79">
        <f t="shared" si="56"/>
        <v>101.52</v>
      </c>
      <c r="O51" s="94"/>
      <c r="P51" s="95"/>
      <c r="Q51" s="96">
        <f t="shared" si="57"/>
        <v>0</v>
      </c>
      <c r="R51" s="97">
        <f t="shared" si="58"/>
        <v>0</v>
      </c>
      <c r="S51" s="98">
        <f t="shared" si="59"/>
        <v>0</v>
      </c>
      <c r="T51" s="96">
        <f t="shared" si="60"/>
        <v>0</v>
      </c>
      <c r="U51" s="137"/>
      <c r="W51" s="126"/>
    </row>
    <row r="52" spans="1:23" s="10" customFormat="1" ht="37.5" customHeight="1" x14ac:dyDescent="0.25">
      <c r="A52" s="91" t="s">
        <v>95</v>
      </c>
      <c r="B52" s="78"/>
      <c r="C52" s="19" t="s">
        <v>82</v>
      </c>
      <c r="D52" s="20" t="s">
        <v>35</v>
      </c>
      <c r="E52" s="70">
        <f>7.23</f>
        <v>7.23</v>
      </c>
      <c r="F52" s="70">
        <f>2.62</f>
        <v>2.62</v>
      </c>
      <c r="G52" s="70">
        <f>8.89</f>
        <v>8.89</v>
      </c>
      <c r="H52" s="70">
        <f>11.87</f>
        <v>11.87</v>
      </c>
      <c r="I52" s="70">
        <f>8.98</f>
        <v>8.98</v>
      </c>
      <c r="J52" s="70">
        <f>4.47</f>
        <v>4.47</v>
      </c>
      <c r="K52" s="70">
        <f>0</f>
        <v>0</v>
      </c>
      <c r="L52" s="70">
        <f>0</f>
        <v>0</v>
      </c>
      <c r="M52" s="70">
        <f>0</f>
        <v>0</v>
      </c>
      <c r="N52" s="79">
        <f t="shared" si="56"/>
        <v>44.06</v>
      </c>
      <c r="O52" s="94"/>
      <c r="P52" s="95"/>
      <c r="Q52" s="96">
        <f t="shared" si="57"/>
        <v>0</v>
      </c>
      <c r="R52" s="97">
        <f t="shared" si="58"/>
        <v>0</v>
      </c>
      <c r="S52" s="98">
        <f t="shared" si="59"/>
        <v>0</v>
      </c>
      <c r="T52" s="96">
        <f t="shared" si="60"/>
        <v>0</v>
      </c>
      <c r="U52" s="137"/>
      <c r="W52" s="126"/>
    </row>
    <row r="53" spans="1:23" s="10" customFormat="1" ht="37.5" customHeight="1" x14ac:dyDescent="0.25">
      <c r="A53" s="91" t="s">
        <v>96</v>
      </c>
      <c r="B53" s="78"/>
      <c r="C53" s="19" t="s">
        <v>83</v>
      </c>
      <c r="D53" s="20" t="s">
        <v>35</v>
      </c>
      <c r="E53" s="70">
        <f>5.14</f>
        <v>5.14</v>
      </c>
      <c r="F53" s="70">
        <f>2.31</f>
        <v>2.31</v>
      </c>
      <c r="G53" s="70">
        <f>4.89</f>
        <v>4.8899999999999997</v>
      </c>
      <c r="H53" s="70">
        <f>6.18</f>
        <v>6.18</v>
      </c>
      <c r="I53" s="70">
        <f>3.89</f>
        <v>3.89</v>
      </c>
      <c r="J53" s="70">
        <f>4.25</f>
        <v>4.25</v>
      </c>
      <c r="K53" s="70">
        <f>0</f>
        <v>0</v>
      </c>
      <c r="L53" s="70">
        <f>0</f>
        <v>0</v>
      </c>
      <c r="M53" s="70">
        <f>0</f>
        <v>0</v>
      </c>
      <c r="N53" s="79">
        <f t="shared" si="56"/>
        <v>26.66</v>
      </c>
      <c r="O53" s="94"/>
      <c r="P53" s="95"/>
      <c r="Q53" s="96">
        <f t="shared" si="57"/>
        <v>0</v>
      </c>
      <c r="R53" s="97">
        <f t="shared" si="58"/>
        <v>0</v>
      </c>
      <c r="S53" s="98">
        <f t="shared" si="59"/>
        <v>0</v>
      </c>
      <c r="T53" s="96">
        <f t="shared" si="60"/>
        <v>0</v>
      </c>
      <c r="U53" s="137"/>
      <c r="W53" s="126"/>
    </row>
    <row r="54" spans="1:23" s="10" customFormat="1" ht="37.5" customHeight="1" x14ac:dyDescent="0.25">
      <c r="A54" s="91" t="s">
        <v>104</v>
      </c>
      <c r="B54" s="78"/>
      <c r="C54" s="19" t="s">
        <v>84</v>
      </c>
      <c r="D54" s="20" t="s">
        <v>35</v>
      </c>
      <c r="E54" s="70">
        <f>2.03</f>
        <v>2.0299999999999998</v>
      </c>
      <c r="F54" s="70">
        <f>1.58</f>
        <v>1.58</v>
      </c>
      <c r="G54" s="70">
        <f>0.88</f>
        <v>0.88</v>
      </c>
      <c r="H54" s="70">
        <f>1.53</f>
        <v>1.53</v>
      </c>
      <c r="I54" s="70">
        <f>0.93</f>
        <v>0.93</v>
      </c>
      <c r="J54" s="70">
        <f>0.67</f>
        <v>0.67</v>
      </c>
      <c r="K54" s="70">
        <f>0</f>
        <v>0</v>
      </c>
      <c r="L54" s="70">
        <f>0</f>
        <v>0</v>
      </c>
      <c r="M54" s="70">
        <f>0</f>
        <v>0</v>
      </c>
      <c r="N54" s="79">
        <f t="shared" si="56"/>
        <v>7.62</v>
      </c>
      <c r="O54" s="94"/>
      <c r="P54" s="95"/>
      <c r="Q54" s="96">
        <f t="shared" si="57"/>
        <v>0</v>
      </c>
      <c r="R54" s="97">
        <f t="shared" si="58"/>
        <v>0</v>
      </c>
      <c r="S54" s="98">
        <f t="shared" si="59"/>
        <v>0</v>
      </c>
      <c r="T54" s="96">
        <f t="shared" si="60"/>
        <v>0</v>
      </c>
      <c r="U54" s="137"/>
      <c r="W54" s="126"/>
    </row>
    <row r="55" spans="1:23" s="10" customFormat="1" ht="37.5" customHeight="1" x14ac:dyDescent="0.25">
      <c r="A55" s="91" t="s">
        <v>105</v>
      </c>
      <c r="B55" s="78"/>
      <c r="C55" s="19" t="s">
        <v>99</v>
      </c>
      <c r="D55" s="20" t="s">
        <v>35</v>
      </c>
      <c r="E55" s="70">
        <f>15.03</f>
        <v>15.03</v>
      </c>
      <c r="F55" s="70">
        <f>16</f>
        <v>16</v>
      </c>
      <c r="G55" s="70">
        <f>2.54</f>
        <v>2.54</v>
      </c>
      <c r="H55" s="70">
        <f>0</f>
        <v>0</v>
      </c>
      <c r="I55" s="70">
        <f>26.34</f>
        <v>26.34</v>
      </c>
      <c r="J55" s="70">
        <f>0</f>
        <v>0</v>
      </c>
      <c r="K55" s="70">
        <f>0</f>
        <v>0</v>
      </c>
      <c r="L55" s="70">
        <f>0</f>
        <v>0</v>
      </c>
      <c r="M55" s="70">
        <f>0</f>
        <v>0</v>
      </c>
      <c r="N55" s="79">
        <f t="shared" ref="N55" si="61">SUM(E55:M55)</f>
        <v>59.91</v>
      </c>
      <c r="O55" s="94"/>
      <c r="P55" s="95"/>
      <c r="Q55" s="96">
        <f t="shared" ref="Q55" si="62">O55+P55</f>
        <v>0</v>
      </c>
      <c r="R55" s="97">
        <f t="shared" ref="R55" si="63">N55*O55</f>
        <v>0</v>
      </c>
      <c r="S55" s="98">
        <f t="shared" ref="S55" si="64">N55*P55</f>
        <v>0</v>
      </c>
      <c r="T55" s="96">
        <f t="shared" si="60"/>
        <v>0</v>
      </c>
      <c r="U55" s="138"/>
      <c r="W55" s="126"/>
    </row>
    <row r="56" spans="1:23" s="10" customFormat="1" ht="37.5" customHeight="1" x14ac:dyDescent="0.25">
      <c r="A56" s="91" t="s">
        <v>125</v>
      </c>
      <c r="B56" s="78"/>
      <c r="C56" s="19" t="s">
        <v>127</v>
      </c>
      <c r="D56" s="20" t="s">
        <v>123</v>
      </c>
      <c r="E56" s="70">
        <f>0.391*0.46+0.584*0.52+0.409*0.46+0.396*0.46</f>
        <v>0.85</v>
      </c>
      <c r="F56" s="70">
        <f>0.369*0.46+0.391*0.46</f>
        <v>0.35</v>
      </c>
      <c r="G56" s="70">
        <f>0.511*0.52+0.347*1.65+0.076*1.86</f>
        <v>0.98</v>
      </c>
      <c r="H56" s="70">
        <f>0.098*1.86+0.154*0.57+0.172*0.46+0.388*0.46</f>
        <v>0.53</v>
      </c>
      <c r="I56" s="70">
        <f>0.302*0.46+0.432*0.6+0.114*0.46</f>
        <v>0.45</v>
      </c>
      <c r="J56" s="70">
        <f>0.396*0.46</f>
        <v>0.18</v>
      </c>
      <c r="K56" s="70">
        <f>0</f>
        <v>0</v>
      </c>
      <c r="L56" s="70">
        <f>0</f>
        <v>0</v>
      </c>
      <c r="M56" s="70">
        <f>0</f>
        <v>0</v>
      </c>
      <c r="N56" s="79">
        <f t="shared" ref="N56" si="65">SUM(E56:M56)</f>
        <v>3.34</v>
      </c>
      <c r="O56" s="94"/>
      <c r="P56" s="95"/>
      <c r="Q56" s="96">
        <f t="shared" ref="Q56" si="66">O56+P56</f>
        <v>0</v>
      </c>
      <c r="R56" s="97">
        <f t="shared" ref="R56" si="67">N56*O56</f>
        <v>0</v>
      </c>
      <c r="S56" s="98">
        <f t="shared" ref="S56" si="68">N56*P56</f>
        <v>0</v>
      </c>
      <c r="T56" s="96">
        <f t="shared" ref="T56" si="69">R56+S56</f>
        <v>0</v>
      </c>
      <c r="U56" s="139"/>
      <c r="W56" s="126"/>
    </row>
    <row r="57" spans="1:23" s="10" customFormat="1" ht="37.5" customHeight="1" x14ac:dyDescent="0.25">
      <c r="A57" s="104">
        <v>5</v>
      </c>
      <c r="B57" s="105"/>
      <c r="C57" s="106" t="s">
        <v>73</v>
      </c>
      <c r="D57" s="107"/>
      <c r="E57" s="107"/>
      <c r="F57" s="107"/>
      <c r="G57" s="107"/>
      <c r="H57" s="107"/>
      <c r="I57" s="107"/>
      <c r="J57" s="107"/>
      <c r="K57" s="107"/>
      <c r="L57" s="107"/>
      <c r="M57" s="107"/>
      <c r="N57" s="108"/>
      <c r="O57" s="109"/>
      <c r="P57" s="110"/>
      <c r="Q57" s="111"/>
      <c r="R57" s="113">
        <f>SUM(R58:R66)</f>
        <v>0</v>
      </c>
      <c r="S57" s="114">
        <f>SUM(S58:S66)</f>
        <v>0</v>
      </c>
      <c r="T57" s="115">
        <f>R57+S57</f>
        <v>0</v>
      </c>
      <c r="U57" s="112"/>
      <c r="W57" s="126"/>
    </row>
    <row r="58" spans="1:23" s="10" customFormat="1" ht="37.5" customHeight="1" x14ac:dyDescent="0.25">
      <c r="A58" s="91" t="s">
        <v>106</v>
      </c>
      <c r="B58" s="78"/>
      <c r="C58" s="19" t="s">
        <v>46</v>
      </c>
      <c r="D58" s="20" t="s">
        <v>35</v>
      </c>
      <c r="E58" s="70">
        <f>0</f>
        <v>0</v>
      </c>
      <c r="F58" s="70">
        <f>0</f>
        <v>0</v>
      </c>
      <c r="G58" s="70">
        <f>0</f>
        <v>0</v>
      </c>
      <c r="H58" s="70">
        <f>0</f>
        <v>0</v>
      </c>
      <c r="I58" s="70">
        <f>0</f>
        <v>0</v>
      </c>
      <c r="J58" s="70">
        <f>0</f>
        <v>0</v>
      </c>
      <c r="K58" s="70">
        <f>462.98</f>
        <v>462.98</v>
      </c>
      <c r="L58" s="70">
        <f>469.18</f>
        <v>469.18</v>
      </c>
      <c r="M58" s="70">
        <f>299.33</f>
        <v>299.33</v>
      </c>
      <c r="N58" s="79">
        <f t="shared" ref="N58:N64" si="70">SUM(E58:M58)</f>
        <v>1231.49</v>
      </c>
      <c r="O58" s="94"/>
      <c r="P58" s="95"/>
      <c r="Q58" s="96">
        <f t="shared" ref="Q58:Q64" si="71">O58+P58</f>
        <v>0</v>
      </c>
      <c r="R58" s="97">
        <f t="shared" ref="R58:R64" si="72">N58*O58</f>
        <v>0</v>
      </c>
      <c r="S58" s="98">
        <f t="shared" ref="S58:S64" si="73">N58*P58</f>
        <v>0</v>
      </c>
      <c r="T58" s="96">
        <f t="shared" ref="T58:T65" si="74">R58+S58</f>
        <v>0</v>
      </c>
      <c r="U58" s="137"/>
      <c r="W58" s="126"/>
    </row>
    <row r="59" spans="1:23" s="10" customFormat="1" ht="37.5" customHeight="1" x14ac:dyDescent="0.25">
      <c r="A59" s="91" t="s">
        <v>103</v>
      </c>
      <c r="B59" s="78"/>
      <c r="C59" s="19" t="s">
        <v>85</v>
      </c>
      <c r="D59" s="20" t="s">
        <v>35</v>
      </c>
      <c r="E59" s="70">
        <f>0</f>
        <v>0</v>
      </c>
      <c r="F59" s="70">
        <f>0</f>
        <v>0</v>
      </c>
      <c r="G59" s="70">
        <f>0</f>
        <v>0</v>
      </c>
      <c r="H59" s="70">
        <f>0</f>
        <v>0</v>
      </c>
      <c r="I59" s="70">
        <f>0</f>
        <v>0</v>
      </c>
      <c r="J59" s="70">
        <f>0</f>
        <v>0</v>
      </c>
      <c r="K59" s="70">
        <f>19.46</f>
        <v>19.46</v>
      </c>
      <c r="L59" s="70">
        <f>22.08</f>
        <v>22.08</v>
      </c>
      <c r="M59" s="70">
        <f>21.59</f>
        <v>21.59</v>
      </c>
      <c r="N59" s="79">
        <f t="shared" si="70"/>
        <v>63.13</v>
      </c>
      <c r="O59" s="94"/>
      <c r="P59" s="95"/>
      <c r="Q59" s="96">
        <f t="shared" si="71"/>
        <v>0</v>
      </c>
      <c r="R59" s="97">
        <f t="shared" si="72"/>
        <v>0</v>
      </c>
      <c r="S59" s="98">
        <f t="shared" si="73"/>
        <v>0</v>
      </c>
      <c r="T59" s="96">
        <f t="shared" si="74"/>
        <v>0</v>
      </c>
      <c r="U59" s="137"/>
      <c r="W59" s="126"/>
    </row>
    <row r="60" spans="1:23" s="10" customFormat="1" ht="37.5" customHeight="1" x14ac:dyDescent="0.25">
      <c r="A60" s="91" t="s">
        <v>101</v>
      </c>
      <c r="B60" s="78"/>
      <c r="C60" s="19" t="s">
        <v>47</v>
      </c>
      <c r="D60" s="20" t="s">
        <v>35</v>
      </c>
      <c r="E60" s="70">
        <f>0</f>
        <v>0</v>
      </c>
      <c r="F60" s="70">
        <f>0</f>
        <v>0</v>
      </c>
      <c r="G60" s="70">
        <f>0</f>
        <v>0</v>
      </c>
      <c r="H60" s="70">
        <f>0</f>
        <v>0</v>
      </c>
      <c r="I60" s="70">
        <f>0</f>
        <v>0</v>
      </c>
      <c r="J60" s="70">
        <f>0</f>
        <v>0</v>
      </c>
      <c r="K60" s="70">
        <f>21.43</f>
        <v>21.43</v>
      </c>
      <c r="L60" s="70">
        <f>24.61</f>
        <v>24.61</v>
      </c>
      <c r="M60" s="70">
        <f>8.65</f>
        <v>8.65</v>
      </c>
      <c r="N60" s="79">
        <f t="shared" si="70"/>
        <v>54.69</v>
      </c>
      <c r="O60" s="94"/>
      <c r="P60" s="95"/>
      <c r="Q60" s="96">
        <f t="shared" si="71"/>
        <v>0</v>
      </c>
      <c r="R60" s="97">
        <f t="shared" si="72"/>
        <v>0</v>
      </c>
      <c r="S60" s="98">
        <f t="shared" si="73"/>
        <v>0</v>
      </c>
      <c r="T60" s="96">
        <f t="shared" si="74"/>
        <v>0</v>
      </c>
      <c r="U60" s="137"/>
      <c r="W60" s="126"/>
    </row>
    <row r="61" spans="1:23" s="10" customFormat="1" ht="37.5" customHeight="1" x14ac:dyDescent="0.25">
      <c r="A61" s="91" t="s">
        <v>107</v>
      </c>
      <c r="B61" s="78"/>
      <c r="C61" s="19" t="s">
        <v>132</v>
      </c>
      <c r="D61" s="20" t="s">
        <v>35</v>
      </c>
      <c r="E61" s="70">
        <f>0</f>
        <v>0</v>
      </c>
      <c r="F61" s="70">
        <f>0</f>
        <v>0</v>
      </c>
      <c r="G61" s="70">
        <f>0</f>
        <v>0</v>
      </c>
      <c r="H61" s="70">
        <f>0</f>
        <v>0</v>
      </c>
      <c r="I61" s="70">
        <f>0</f>
        <v>0</v>
      </c>
      <c r="J61" s="70">
        <f>0</f>
        <v>0</v>
      </c>
      <c r="K61" s="70">
        <f>15.15</f>
        <v>15.15</v>
      </c>
      <c r="L61" s="70">
        <f>27.22</f>
        <v>27.22</v>
      </c>
      <c r="M61" s="70">
        <f>10.84</f>
        <v>10.84</v>
      </c>
      <c r="N61" s="79">
        <f t="shared" si="70"/>
        <v>53.21</v>
      </c>
      <c r="O61" s="94"/>
      <c r="P61" s="95"/>
      <c r="Q61" s="96">
        <f t="shared" si="71"/>
        <v>0</v>
      </c>
      <c r="R61" s="97">
        <f t="shared" si="72"/>
        <v>0</v>
      </c>
      <c r="S61" s="98">
        <f t="shared" si="73"/>
        <v>0</v>
      </c>
      <c r="T61" s="96">
        <f t="shared" si="74"/>
        <v>0</v>
      </c>
      <c r="U61" s="137"/>
      <c r="W61" s="126"/>
    </row>
    <row r="62" spans="1:23" s="10" customFormat="1" ht="37.5" customHeight="1" x14ac:dyDescent="0.25">
      <c r="A62" s="91" t="s">
        <v>108</v>
      </c>
      <c r="B62" s="78"/>
      <c r="C62" s="19" t="s">
        <v>82</v>
      </c>
      <c r="D62" s="20" t="s">
        <v>35</v>
      </c>
      <c r="E62" s="70">
        <f>0</f>
        <v>0</v>
      </c>
      <c r="F62" s="70">
        <f>0</f>
        <v>0</v>
      </c>
      <c r="G62" s="70">
        <f>0</f>
        <v>0</v>
      </c>
      <c r="H62" s="70">
        <f>0</f>
        <v>0</v>
      </c>
      <c r="I62" s="70">
        <f>0</f>
        <v>0</v>
      </c>
      <c r="J62" s="70">
        <f>0</f>
        <v>0</v>
      </c>
      <c r="K62" s="70">
        <f>13.55</f>
        <v>13.55</v>
      </c>
      <c r="L62" s="70">
        <f>8.15</f>
        <v>8.15</v>
      </c>
      <c r="M62" s="70">
        <f>8.63</f>
        <v>8.6300000000000008</v>
      </c>
      <c r="N62" s="79">
        <f t="shared" si="70"/>
        <v>30.33</v>
      </c>
      <c r="O62" s="94"/>
      <c r="P62" s="95"/>
      <c r="Q62" s="96">
        <f t="shared" si="71"/>
        <v>0</v>
      </c>
      <c r="R62" s="97">
        <f t="shared" si="72"/>
        <v>0</v>
      </c>
      <c r="S62" s="98">
        <f t="shared" si="73"/>
        <v>0</v>
      </c>
      <c r="T62" s="96">
        <f t="shared" si="74"/>
        <v>0</v>
      </c>
      <c r="U62" s="137"/>
      <c r="W62" s="126"/>
    </row>
    <row r="63" spans="1:23" s="10" customFormat="1" ht="37.5" customHeight="1" x14ac:dyDescent="0.25">
      <c r="A63" s="91" t="s">
        <v>100</v>
      </c>
      <c r="B63" s="78"/>
      <c r="C63" s="19" t="s">
        <v>83</v>
      </c>
      <c r="D63" s="20" t="s">
        <v>35</v>
      </c>
      <c r="E63" s="70">
        <f>0</f>
        <v>0</v>
      </c>
      <c r="F63" s="70">
        <f>0</f>
        <v>0</v>
      </c>
      <c r="G63" s="70">
        <f>0</f>
        <v>0</v>
      </c>
      <c r="H63" s="70">
        <f>0</f>
        <v>0</v>
      </c>
      <c r="I63" s="70">
        <f>0</f>
        <v>0</v>
      </c>
      <c r="J63" s="70">
        <f>0</f>
        <v>0</v>
      </c>
      <c r="K63" s="70">
        <f>3.54</f>
        <v>3.54</v>
      </c>
      <c r="L63" s="70">
        <f>5.13</f>
        <v>5.13</v>
      </c>
      <c r="M63" s="70">
        <f>5.09</f>
        <v>5.09</v>
      </c>
      <c r="N63" s="79">
        <f t="shared" si="70"/>
        <v>13.76</v>
      </c>
      <c r="O63" s="94"/>
      <c r="P63" s="95"/>
      <c r="Q63" s="96">
        <f t="shared" si="71"/>
        <v>0</v>
      </c>
      <c r="R63" s="97">
        <f t="shared" si="72"/>
        <v>0</v>
      </c>
      <c r="S63" s="98">
        <f t="shared" si="73"/>
        <v>0</v>
      </c>
      <c r="T63" s="96">
        <f t="shared" si="74"/>
        <v>0</v>
      </c>
      <c r="U63" s="137"/>
      <c r="W63" s="126"/>
    </row>
    <row r="64" spans="1:23" s="10" customFormat="1" ht="37.5" customHeight="1" x14ac:dyDescent="0.25">
      <c r="A64" s="91" t="s">
        <v>109</v>
      </c>
      <c r="B64" s="78"/>
      <c r="C64" s="19" t="s">
        <v>84</v>
      </c>
      <c r="D64" s="20" t="s">
        <v>35</v>
      </c>
      <c r="E64" s="70">
        <f>0</f>
        <v>0</v>
      </c>
      <c r="F64" s="70">
        <f>0</f>
        <v>0</v>
      </c>
      <c r="G64" s="70">
        <f>0</f>
        <v>0</v>
      </c>
      <c r="H64" s="70">
        <f>0</f>
        <v>0</v>
      </c>
      <c r="I64" s="70">
        <f>0</f>
        <v>0</v>
      </c>
      <c r="J64" s="70">
        <f>0</f>
        <v>0</v>
      </c>
      <c r="K64" s="70">
        <f>0.27</f>
        <v>0.27</v>
      </c>
      <c r="L64" s="70">
        <f>1.84</f>
        <v>1.84</v>
      </c>
      <c r="M64" s="70">
        <f>3.67</f>
        <v>3.67</v>
      </c>
      <c r="N64" s="79">
        <f t="shared" si="70"/>
        <v>5.78</v>
      </c>
      <c r="O64" s="94"/>
      <c r="P64" s="95"/>
      <c r="Q64" s="96">
        <f t="shared" si="71"/>
        <v>0</v>
      </c>
      <c r="R64" s="97">
        <f t="shared" si="72"/>
        <v>0</v>
      </c>
      <c r="S64" s="98">
        <f t="shared" si="73"/>
        <v>0</v>
      </c>
      <c r="T64" s="96">
        <f t="shared" si="74"/>
        <v>0</v>
      </c>
      <c r="U64" s="137"/>
      <c r="W64" s="126"/>
    </row>
    <row r="65" spans="1:31" s="10" customFormat="1" ht="37.5" customHeight="1" x14ac:dyDescent="0.25">
      <c r="A65" s="91" t="s">
        <v>110</v>
      </c>
      <c r="B65" s="78"/>
      <c r="C65" s="19" t="s">
        <v>99</v>
      </c>
      <c r="D65" s="20" t="s">
        <v>35</v>
      </c>
      <c r="E65" s="70">
        <f>0</f>
        <v>0</v>
      </c>
      <c r="F65" s="70">
        <f>0</f>
        <v>0</v>
      </c>
      <c r="G65" s="70">
        <f>0</f>
        <v>0</v>
      </c>
      <c r="H65" s="70">
        <f>0</f>
        <v>0</v>
      </c>
      <c r="I65" s="70">
        <f>0</f>
        <v>0</v>
      </c>
      <c r="J65" s="70">
        <f>0</f>
        <v>0</v>
      </c>
      <c r="K65" s="70">
        <f>30.91</f>
        <v>30.91</v>
      </c>
      <c r="L65" s="70">
        <f>37.99</f>
        <v>37.99</v>
      </c>
      <c r="M65" s="70">
        <f>33.32</f>
        <v>33.32</v>
      </c>
      <c r="N65" s="79">
        <f t="shared" ref="N65" si="75">SUM(E65:M65)</f>
        <v>102.22</v>
      </c>
      <c r="O65" s="94"/>
      <c r="P65" s="95"/>
      <c r="Q65" s="96">
        <f t="shared" ref="Q65" si="76">O65+P65</f>
        <v>0</v>
      </c>
      <c r="R65" s="97">
        <f t="shared" ref="R65" si="77">N65*O65</f>
        <v>0</v>
      </c>
      <c r="S65" s="98">
        <f t="shared" ref="S65" si="78">N65*P65</f>
        <v>0</v>
      </c>
      <c r="T65" s="96">
        <f t="shared" si="74"/>
        <v>0</v>
      </c>
      <c r="U65" s="137"/>
      <c r="W65" s="126"/>
    </row>
    <row r="66" spans="1:31" s="10" customFormat="1" ht="37.5" customHeight="1" thickBot="1" x14ac:dyDescent="0.3">
      <c r="A66" s="91" t="s">
        <v>126</v>
      </c>
      <c r="B66" s="78"/>
      <c r="C66" s="19" t="s">
        <v>127</v>
      </c>
      <c r="D66" s="20" t="s">
        <v>123</v>
      </c>
      <c r="E66" s="70">
        <f>0</f>
        <v>0</v>
      </c>
      <c r="F66" s="70">
        <f>0</f>
        <v>0</v>
      </c>
      <c r="G66" s="70">
        <f>0</f>
        <v>0</v>
      </c>
      <c r="H66" s="70">
        <f>0</f>
        <v>0</v>
      </c>
      <c r="I66" s="70">
        <f>0</f>
        <v>0</v>
      </c>
      <c r="J66" s="70">
        <f>0</f>
        <v>0</v>
      </c>
      <c r="K66" s="70">
        <f>0.255*0.84+0.426*0.76+0.068*0.46</f>
        <v>0.56999999999999995</v>
      </c>
      <c r="L66" s="70">
        <f>0.584*0.76+0.788*0.76+0.36*0.75</f>
        <v>1.31</v>
      </c>
      <c r="M66" s="70">
        <f>0.338*1.86+0.584*0.76+0.643*0.76+0.331*1.86+0.36*0.75</f>
        <v>2.4500000000000002</v>
      </c>
      <c r="N66" s="79">
        <f t="shared" ref="N66" si="79">SUM(E66:M66)</f>
        <v>4.33</v>
      </c>
      <c r="O66" s="94"/>
      <c r="P66" s="95"/>
      <c r="Q66" s="96">
        <f t="shared" ref="Q66" si="80">O66+P66</f>
        <v>0</v>
      </c>
      <c r="R66" s="97">
        <f t="shared" ref="R66" si="81">N66*O66</f>
        <v>0</v>
      </c>
      <c r="S66" s="98">
        <f t="shared" ref="S66" si="82">N66*P66</f>
        <v>0</v>
      </c>
      <c r="T66" s="96">
        <f t="shared" ref="T66" si="83">R66+S66</f>
        <v>0</v>
      </c>
      <c r="U66" s="139"/>
      <c r="W66" s="126"/>
    </row>
    <row r="67" spans="1:31" s="10" customFormat="1" ht="37.5" customHeight="1" thickBot="1" x14ac:dyDescent="0.3">
      <c r="A67" s="80"/>
      <c r="B67" s="81" t="s">
        <v>22</v>
      </c>
      <c r="C67" s="82" t="s">
        <v>7</v>
      </c>
      <c r="D67" s="83"/>
      <c r="E67" s="84"/>
      <c r="F67" s="84"/>
      <c r="G67" s="84"/>
      <c r="H67" s="84"/>
      <c r="I67" s="84"/>
      <c r="J67" s="84"/>
      <c r="K67" s="84"/>
      <c r="L67" s="84"/>
      <c r="M67" s="84"/>
      <c r="N67" s="117">
        <f>SUM(N18:N25,N28:N35,N38:N45,N48:N55,N58:N65)</f>
        <v>11214.58</v>
      </c>
      <c r="O67" s="85"/>
      <c r="P67" s="86"/>
      <c r="Q67" s="87"/>
      <c r="R67" s="117">
        <f>R17+R27+R37+R47+R57</f>
        <v>0</v>
      </c>
      <c r="S67" s="88">
        <f>S17+S27+S37+S47+S57</f>
        <v>0</v>
      </c>
      <c r="T67" s="89">
        <f>R67+S67</f>
        <v>0</v>
      </c>
      <c r="U67" s="90"/>
      <c r="W67" s="126"/>
    </row>
    <row r="68" spans="1:31" s="27" customFormat="1" x14ac:dyDescent="0.25">
      <c r="A68" s="29"/>
      <c r="B68" s="30"/>
      <c r="C68" s="31"/>
      <c r="D68" s="28"/>
      <c r="E68" s="28"/>
      <c r="F68" s="28"/>
      <c r="G68" s="28"/>
      <c r="H68" s="28"/>
      <c r="I68" s="28"/>
      <c r="J68" s="28"/>
      <c r="K68" s="28"/>
      <c r="L68" s="28"/>
      <c r="M68" s="28"/>
      <c r="N68" s="28"/>
      <c r="Q68" s="32"/>
      <c r="R68" s="33"/>
      <c r="S68" s="33"/>
      <c r="T68" s="33"/>
      <c r="W68" s="124"/>
    </row>
    <row r="69" spans="1:31" s="42" customFormat="1" ht="30" customHeight="1" x14ac:dyDescent="0.2">
      <c r="A69" s="35"/>
      <c r="B69" s="65" t="s">
        <v>23</v>
      </c>
      <c r="C69" s="36"/>
      <c r="D69" s="37"/>
      <c r="E69" s="37"/>
      <c r="F69" s="37"/>
      <c r="G69" s="37"/>
      <c r="H69" s="37"/>
      <c r="I69" s="37"/>
      <c r="J69" s="37"/>
      <c r="K69" s="37"/>
      <c r="L69" s="37"/>
      <c r="M69" s="37"/>
      <c r="N69" s="38"/>
      <c r="O69" s="38"/>
      <c r="P69" s="39"/>
      <c r="Q69" s="40"/>
      <c r="R69" s="41"/>
      <c r="S69" s="41"/>
      <c r="T69" s="41"/>
      <c r="U69" s="38"/>
      <c r="W69" s="127"/>
    </row>
    <row r="70" spans="1:31" s="42" customFormat="1" ht="30" customHeight="1" x14ac:dyDescent="0.2">
      <c r="A70" s="35"/>
      <c r="B70" s="66" t="s">
        <v>15</v>
      </c>
      <c r="C70" s="43"/>
      <c r="D70" s="43"/>
      <c r="E70" s="43"/>
      <c r="F70" s="43"/>
      <c r="G70" s="43"/>
      <c r="H70" s="43"/>
      <c r="I70" s="43"/>
      <c r="J70" s="43"/>
      <c r="K70" s="43"/>
      <c r="L70" s="43"/>
      <c r="M70" s="43"/>
      <c r="N70" s="43"/>
      <c r="O70" s="43"/>
      <c r="P70" s="43"/>
      <c r="Q70" s="40"/>
      <c r="R70" s="41"/>
      <c r="S70" s="41"/>
      <c r="T70" s="41"/>
      <c r="U70" s="38"/>
      <c r="W70" s="127"/>
    </row>
    <row r="71" spans="1:31" s="42" customFormat="1" ht="13.5" customHeight="1" x14ac:dyDescent="0.2">
      <c r="A71" s="35"/>
      <c r="B71" s="67"/>
      <c r="C71" s="43"/>
      <c r="D71" s="43"/>
      <c r="E71" s="43"/>
      <c r="F71" s="43"/>
      <c r="G71" s="43"/>
      <c r="H71" s="43"/>
      <c r="I71" s="43"/>
      <c r="J71" s="43"/>
      <c r="K71" s="43"/>
      <c r="L71" s="43"/>
      <c r="M71" s="43"/>
      <c r="N71" s="38"/>
      <c r="O71" s="43"/>
      <c r="P71" s="43"/>
      <c r="Q71" s="40"/>
      <c r="R71" s="41"/>
      <c r="S71" s="41"/>
      <c r="T71" s="41"/>
      <c r="U71" s="38"/>
      <c r="W71" s="127"/>
    </row>
    <row r="72" spans="1:31" s="42" customFormat="1" ht="30" customHeight="1" x14ac:dyDescent="0.2">
      <c r="A72" s="35"/>
      <c r="B72" s="68" t="s">
        <v>8</v>
      </c>
      <c r="C72" s="43"/>
      <c r="D72" s="43"/>
      <c r="E72" s="43"/>
      <c r="F72" s="43"/>
      <c r="G72" s="43"/>
      <c r="H72" s="43"/>
      <c r="I72" s="43"/>
      <c r="J72" s="43"/>
      <c r="K72" s="43"/>
      <c r="L72" s="43"/>
      <c r="M72" s="43"/>
      <c r="N72" s="43"/>
      <c r="O72" s="43"/>
      <c r="P72" s="43"/>
      <c r="Q72" s="40"/>
      <c r="R72" s="41"/>
      <c r="S72" s="41"/>
      <c r="T72" s="41"/>
      <c r="U72" s="38"/>
      <c r="W72" s="127"/>
    </row>
    <row r="73" spans="1:31" s="42" customFormat="1" ht="13.5" customHeight="1" x14ac:dyDescent="0.2">
      <c r="A73" s="35"/>
      <c r="B73" s="35"/>
      <c r="C73" s="36"/>
      <c r="D73" s="37"/>
      <c r="E73" s="37"/>
      <c r="F73" s="37"/>
      <c r="G73" s="37"/>
      <c r="H73" s="37"/>
      <c r="I73" s="37"/>
      <c r="J73" s="37"/>
      <c r="K73" s="37"/>
      <c r="L73" s="37"/>
      <c r="M73" s="37"/>
      <c r="N73" s="37"/>
      <c r="O73" s="38"/>
      <c r="P73" s="39"/>
      <c r="Q73" s="40"/>
      <c r="R73" s="41"/>
      <c r="S73" s="41"/>
      <c r="T73" s="41"/>
      <c r="U73" s="38"/>
      <c r="W73" s="127"/>
    </row>
    <row r="74" spans="1:31" s="21" customFormat="1" ht="45" customHeight="1" x14ac:dyDescent="0.25">
      <c r="A74" s="69">
        <v>1</v>
      </c>
      <c r="B74" s="164" t="s">
        <v>39</v>
      </c>
      <c r="C74" s="164"/>
      <c r="D74" s="164"/>
      <c r="E74" s="164"/>
      <c r="F74" s="164"/>
      <c r="G74" s="164"/>
      <c r="H74" s="164"/>
      <c r="I74" s="164"/>
      <c r="J74" s="164"/>
      <c r="K74" s="164"/>
      <c r="L74" s="164"/>
      <c r="M74" s="164"/>
      <c r="N74" s="164"/>
      <c r="O74" s="164"/>
      <c r="P74" s="164"/>
      <c r="Q74" s="164"/>
      <c r="R74" s="164"/>
      <c r="S74" s="164"/>
      <c r="T74" s="164"/>
      <c r="U74" s="164"/>
      <c r="W74" s="128"/>
    </row>
    <row r="75" spans="1:31" s="21" customFormat="1" ht="30" customHeight="1" x14ac:dyDescent="0.25">
      <c r="A75" s="69">
        <v>2</v>
      </c>
      <c r="B75" s="165" t="s">
        <v>139</v>
      </c>
      <c r="C75" s="165"/>
      <c r="D75" s="165"/>
      <c r="E75" s="165"/>
      <c r="F75" s="165"/>
      <c r="G75" s="165"/>
      <c r="H75" s="165"/>
      <c r="I75" s="165"/>
      <c r="J75" s="165"/>
      <c r="K75" s="165"/>
      <c r="L75" s="165"/>
      <c r="M75" s="165"/>
      <c r="N75" s="165"/>
      <c r="O75" s="165"/>
      <c r="P75" s="165"/>
      <c r="Q75" s="165"/>
      <c r="R75" s="165"/>
      <c r="S75" s="165"/>
      <c r="T75" s="165"/>
      <c r="U75" s="165"/>
      <c r="W75" s="128"/>
    </row>
    <row r="76" spans="1:31" s="21" customFormat="1" ht="45" customHeight="1" x14ac:dyDescent="0.25">
      <c r="A76" s="69">
        <v>3</v>
      </c>
      <c r="B76" s="169" t="s">
        <v>12</v>
      </c>
      <c r="C76" s="169"/>
      <c r="D76" s="169"/>
      <c r="E76" s="169"/>
      <c r="F76" s="169"/>
      <c r="G76" s="169"/>
      <c r="H76" s="169"/>
      <c r="I76" s="169"/>
      <c r="J76" s="169"/>
      <c r="K76" s="169"/>
      <c r="L76" s="169"/>
      <c r="M76" s="169"/>
      <c r="N76" s="169"/>
      <c r="O76" s="169"/>
      <c r="P76" s="169"/>
      <c r="Q76" s="169"/>
      <c r="R76" s="169"/>
      <c r="S76" s="169"/>
      <c r="T76" s="169"/>
      <c r="U76" s="169"/>
      <c r="W76" s="128"/>
    </row>
    <row r="77" spans="1:31" s="21" customFormat="1" ht="277.5" customHeight="1" x14ac:dyDescent="0.25">
      <c r="A77" s="69">
        <v>4</v>
      </c>
      <c r="B77" s="170" t="s">
        <v>40</v>
      </c>
      <c r="C77" s="170"/>
      <c r="D77" s="170"/>
      <c r="E77" s="170"/>
      <c r="F77" s="170"/>
      <c r="G77" s="170"/>
      <c r="H77" s="170"/>
      <c r="I77" s="170"/>
      <c r="J77" s="170"/>
      <c r="K77" s="170"/>
      <c r="L77" s="170"/>
      <c r="M77" s="170"/>
      <c r="N77" s="170"/>
      <c r="O77" s="170"/>
      <c r="P77" s="170"/>
      <c r="Q77" s="170"/>
      <c r="R77" s="170"/>
      <c r="S77" s="170"/>
      <c r="T77" s="170"/>
      <c r="U77" s="170"/>
      <c r="W77" s="128"/>
    </row>
    <row r="78" spans="1:31" s="21" customFormat="1" ht="45" customHeight="1" x14ac:dyDescent="0.25">
      <c r="A78" s="69">
        <v>5</v>
      </c>
      <c r="B78" s="170" t="s">
        <v>24</v>
      </c>
      <c r="C78" s="170"/>
      <c r="D78" s="170"/>
      <c r="E78" s="170"/>
      <c r="F78" s="170"/>
      <c r="G78" s="170"/>
      <c r="H78" s="170"/>
      <c r="I78" s="170"/>
      <c r="J78" s="170"/>
      <c r="K78" s="170"/>
      <c r="L78" s="170"/>
      <c r="M78" s="170"/>
      <c r="N78" s="170"/>
      <c r="O78" s="170"/>
      <c r="P78" s="170"/>
      <c r="Q78" s="170"/>
      <c r="R78" s="170"/>
      <c r="S78" s="170"/>
      <c r="T78" s="170"/>
      <c r="U78" s="170"/>
      <c r="W78" s="128"/>
    </row>
    <row r="79" spans="1:31" s="21" customFormat="1" ht="67.5" customHeight="1" x14ac:dyDescent="0.25">
      <c r="A79" s="69">
        <v>6</v>
      </c>
      <c r="B79" s="170" t="s">
        <v>25</v>
      </c>
      <c r="C79" s="170"/>
      <c r="D79" s="170"/>
      <c r="E79" s="170"/>
      <c r="F79" s="170"/>
      <c r="G79" s="170"/>
      <c r="H79" s="170"/>
      <c r="I79" s="170"/>
      <c r="J79" s="170"/>
      <c r="K79" s="170"/>
      <c r="L79" s="170"/>
      <c r="M79" s="170"/>
      <c r="N79" s="170"/>
      <c r="O79" s="170"/>
      <c r="P79" s="170"/>
      <c r="Q79" s="170"/>
      <c r="R79" s="170"/>
      <c r="S79" s="170"/>
      <c r="T79" s="170"/>
      <c r="U79" s="170"/>
      <c r="W79" s="128"/>
    </row>
    <row r="80" spans="1:31" s="21" customFormat="1" ht="30" customHeight="1" thickBot="1" x14ac:dyDescent="0.3">
      <c r="A80" s="69">
        <v>7</v>
      </c>
      <c r="B80" s="170" t="s">
        <v>26</v>
      </c>
      <c r="C80" s="170"/>
      <c r="D80" s="170"/>
      <c r="E80" s="170"/>
      <c r="F80" s="170"/>
      <c r="G80" s="170"/>
      <c r="H80" s="170"/>
      <c r="I80" s="170"/>
      <c r="J80" s="170"/>
      <c r="K80" s="170"/>
      <c r="L80" s="170"/>
      <c r="M80" s="170"/>
      <c r="N80" s="170"/>
      <c r="O80" s="170"/>
      <c r="P80" s="170"/>
      <c r="Q80" s="170"/>
      <c r="R80" s="170"/>
      <c r="S80" s="170"/>
      <c r="T80" s="170"/>
      <c r="U80" s="170"/>
      <c r="V80" s="62"/>
      <c r="W80" s="119"/>
      <c r="X80" s="62"/>
      <c r="Y80" s="62"/>
      <c r="Z80" s="62"/>
      <c r="AA80" s="62"/>
      <c r="AB80" s="62"/>
      <c r="AC80" s="62"/>
      <c r="AD80" s="62"/>
      <c r="AE80" s="62"/>
    </row>
    <row r="81" spans="1:38" s="21" customFormat="1" ht="30" customHeight="1" x14ac:dyDescent="0.25">
      <c r="A81" s="69">
        <v>8</v>
      </c>
      <c r="B81" s="143" t="s">
        <v>63</v>
      </c>
      <c r="C81" s="144"/>
      <c r="D81" s="144"/>
      <c r="E81" s="144"/>
      <c r="F81" s="144"/>
      <c r="G81" s="144"/>
      <c r="H81" s="144"/>
      <c r="I81" s="144"/>
      <c r="J81" s="144"/>
      <c r="K81" s="144"/>
      <c r="L81" s="144"/>
      <c r="M81" s="144"/>
      <c r="N81" s="144"/>
      <c r="O81" s="144"/>
      <c r="P81" s="144"/>
      <c r="Q81" s="144"/>
      <c r="R81" s="144"/>
      <c r="S81" s="144"/>
      <c r="T81" s="144"/>
      <c r="U81" s="145"/>
      <c r="W81" s="128"/>
    </row>
    <row r="82" spans="1:38" s="22" customFormat="1" ht="30" customHeight="1" x14ac:dyDescent="0.2">
      <c r="A82" s="69"/>
      <c r="B82" s="140" t="s">
        <v>36</v>
      </c>
      <c r="C82" s="141"/>
      <c r="D82" s="141"/>
      <c r="E82" s="141"/>
      <c r="F82" s="141"/>
      <c r="G82" s="141"/>
      <c r="H82" s="141"/>
      <c r="I82" s="141"/>
      <c r="J82" s="141"/>
      <c r="K82" s="141"/>
      <c r="L82" s="141"/>
      <c r="M82" s="141"/>
      <c r="N82" s="141"/>
      <c r="O82" s="141"/>
      <c r="P82" s="141"/>
      <c r="Q82" s="141"/>
      <c r="R82" s="141"/>
      <c r="S82" s="141"/>
      <c r="T82" s="141"/>
      <c r="U82" s="142"/>
      <c r="W82" s="129"/>
    </row>
    <row r="83" spans="1:38" s="22" customFormat="1" ht="30" customHeight="1" x14ac:dyDescent="0.2">
      <c r="A83" s="92"/>
      <c r="B83" s="140" t="s">
        <v>27</v>
      </c>
      <c r="C83" s="141"/>
      <c r="D83" s="141"/>
      <c r="E83" s="141"/>
      <c r="F83" s="141"/>
      <c r="G83" s="141"/>
      <c r="H83" s="141"/>
      <c r="I83" s="141"/>
      <c r="J83" s="141"/>
      <c r="K83" s="141"/>
      <c r="L83" s="141"/>
      <c r="M83" s="141"/>
      <c r="N83" s="141"/>
      <c r="O83" s="141"/>
      <c r="P83" s="141"/>
      <c r="Q83" s="141"/>
      <c r="R83" s="141"/>
      <c r="S83" s="141"/>
      <c r="T83" s="141"/>
      <c r="U83" s="142"/>
      <c r="W83" s="129"/>
    </row>
    <row r="84" spans="1:38" s="22" customFormat="1" ht="30" customHeight="1" x14ac:dyDescent="0.2">
      <c r="A84" s="92"/>
      <c r="B84" s="140" t="s">
        <v>28</v>
      </c>
      <c r="C84" s="141"/>
      <c r="D84" s="141"/>
      <c r="E84" s="141"/>
      <c r="F84" s="141"/>
      <c r="G84" s="141"/>
      <c r="H84" s="141"/>
      <c r="I84" s="141"/>
      <c r="J84" s="141"/>
      <c r="K84" s="141"/>
      <c r="L84" s="141"/>
      <c r="M84" s="141"/>
      <c r="N84" s="141"/>
      <c r="O84" s="141"/>
      <c r="P84" s="141"/>
      <c r="Q84" s="141"/>
      <c r="R84" s="141"/>
      <c r="S84" s="141"/>
      <c r="T84" s="141"/>
      <c r="U84" s="142"/>
      <c r="W84" s="129"/>
    </row>
    <row r="85" spans="1:38" s="22" customFormat="1" ht="30" customHeight="1" x14ac:dyDescent="0.2">
      <c r="A85" s="69"/>
      <c r="B85" s="140" t="s">
        <v>29</v>
      </c>
      <c r="C85" s="141"/>
      <c r="D85" s="141"/>
      <c r="E85" s="141"/>
      <c r="F85" s="141"/>
      <c r="G85" s="141"/>
      <c r="H85" s="141"/>
      <c r="I85" s="141"/>
      <c r="J85" s="141"/>
      <c r="K85" s="141"/>
      <c r="L85" s="141"/>
      <c r="M85" s="141"/>
      <c r="N85" s="141"/>
      <c r="O85" s="141"/>
      <c r="P85" s="141"/>
      <c r="Q85" s="141"/>
      <c r="R85" s="141"/>
      <c r="S85" s="141"/>
      <c r="T85" s="141"/>
      <c r="U85" s="142"/>
      <c r="V85" s="60"/>
      <c r="W85" s="130"/>
      <c r="X85" s="60"/>
      <c r="Y85" s="60"/>
      <c r="Z85" s="60"/>
      <c r="AA85" s="60"/>
      <c r="AB85" s="60"/>
      <c r="AC85" s="60"/>
      <c r="AD85" s="60"/>
      <c r="AE85" s="60"/>
      <c r="AF85" s="60"/>
    </row>
    <row r="86" spans="1:38" s="22" customFormat="1" ht="48.75" customHeight="1" x14ac:dyDescent="0.2">
      <c r="A86" s="69"/>
      <c r="B86" s="140" t="s">
        <v>42</v>
      </c>
      <c r="C86" s="141"/>
      <c r="D86" s="141"/>
      <c r="E86" s="141"/>
      <c r="F86" s="141"/>
      <c r="G86" s="141"/>
      <c r="H86" s="141"/>
      <c r="I86" s="141"/>
      <c r="J86" s="141"/>
      <c r="K86" s="141"/>
      <c r="L86" s="141"/>
      <c r="M86" s="141"/>
      <c r="N86" s="141"/>
      <c r="O86" s="141"/>
      <c r="P86" s="141"/>
      <c r="Q86" s="141"/>
      <c r="R86" s="141"/>
      <c r="S86" s="141"/>
      <c r="T86" s="141"/>
      <c r="U86" s="142"/>
      <c r="W86" s="129"/>
    </row>
    <row r="87" spans="1:38" s="22" customFormat="1" ht="30" customHeight="1" x14ac:dyDescent="0.2">
      <c r="A87" s="92"/>
      <c r="B87" s="140" t="s">
        <v>97</v>
      </c>
      <c r="C87" s="141"/>
      <c r="D87" s="141"/>
      <c r="E87" s="141"/>
      <c r="F87" s="141"/>
      <c r="G87" s="141"/>
      <c r="H87" s="141"/>
      <c r="I87" s="141"/>
      <c r="J87" s="141"/>
      <c r="K87" s="141"/>
      <c r="L87" s="141"/>
      <c r="M87" s="141"/>
      <c r="N87" s="141"/>
      <c r="O87" s="141"/>
      <c r="P87" s="141"/>
      <c r="Q87" s="141"/>
      <c r="R87" s="141"/>
      <c r="S87" s="141"/>
      <c r="T87" s="141"/>
      <c r="U87" s="142"/>
      <c r="W87" s="129"/>
    </row>
    <row r="88" spans="1:38" s="22" customFormat="1" ht="30" customHeight="1" x14ac:dyDescent="0.2">
      <c r="A88" s="92"/>
      <c r="B88" s="140" t="s">
        <v>98</v>
      </c>
      <c r="C88" s="141"/>
      <c r="D88" s="141"/>
      <c r="E88" s="141"/>
      <c r="F88" s="141"/>
      <c r="G88" s="141"/>
      <c r="H88" s="141"/>
      <c r="I88" s="141"/>
      <c r="J88" s="141"/>
      <c r="K88" s="141"/>
      <c r="L88" s="141"/>
      <c r="M88" s="141"/>
      <c r="N88" s="141"/>
      <c r="O88" s="141"/>
      <c r="P88" s="141"/>
      <c r="Q88" s="141"/>
      <c r="R88" s="141"/>
      <c r="S88" s="141"/>
      <c r="T88" s="141"/>
      <c r="U88" s="142"/>
      <c r="W88" s="129"/>
    </row>
    <row r="89" spans="1:38" s="44" customFormat="1" ht="30" customHeight="1" x14ac:dyDescent="0.2">
      <c r="A89" s="92"/>
      <c r="B89" s="140" t="s">
        <v>62</v>
      </c>
      <c r="C89" s="141"/>
      <c r="D89" s="141"/>
      <c r="E89" s="141"/>
      <c r="F89" s="141"/>
      <c r="G89" s="141"/>
      <c r="H89" s="141"/>
      <c r="I89" s="141"/>
      <c r="J89" s="141"/>
      <c r="K89" s="141"/>
      <c r="L89" s="141"/>
      <c r="M89" s="141"/>
      <c r="N89" s="141"/>
      <c r="O89" s="141"/>
      <c r="P89" s="141"/>
      <c r="Q89" s="141"/>
      <c r="R89" s="141"/>
      <c r="S89" s="141"/>
      <c r="T89" s="141"/>
      <c r="U89" s="142"/>
      <c r="W89" s="131"/>
      <c r="X89" s="74"/>
    </row>
    <row r="90" spans="1:38" s="55" customFormat="1" ht="30" customHeight="1" x14ac:dyDescent="0.35">
      <c r="A90" s="92"/>
      <c r="B90" s="140" t="s">
        <v>30</v>
      </c>
      <c r="C90" s="141"/>
      <c r="D90" s="141"/>
      <c r="E90" s="141"/>
      <c r="F90" s="141"/>
      <c r="G90" s="141"/>
      <c r="H90" s="141"/>
      <c r="I90" s="141"/>
      <c r="J90" s="141"/>
      <c r="K90" s="141"/>
      <c r="L90" s="141"/>
      <c r="M90" s="141"/>
      <c r="N90" s="141"/>
      <c r="O90" s="141"/>
      <c r="P90" s="141"/>
      <c r="Q90" s="141"/>
      <c r="R90" s="141"/>
      <c r="S90" s="141"/>
      <c r="T90" s="141"/>
      <c r="U90" s="142"/>
      <c r="V90" s="58"/>
      <c r="W90" s="118"/>
      <c r="AA90" s="56"/>
      <c r="AB90" s="56"/>
      <c r="AL90" s="59"/>
    </row>
    <row r="91" spans="1:38" s="55" customFormat="1" ht="30" customHeight="1" thickBot="1" x14ac:dyDescent="0.4">
      <c r="A91" s="92"/>
      <c r="B91" s="146" t="s">
        <v>31</v>
      </c>
      <c r="C91" s="147"/>
      <c r="D91" s="147"/>
      <c r="E91" s="147"/>
      <c r="F91" s="147"/>
      <c r="G91" s="147"/>
      <c r="H91" s="147"/>
      <c r="I91" s="147"/>
      <c r="J91" s="147"/>
      <c r="K91" s="147"/>
      <c r="L91" s="147"/>
      <c r="M91" s="147"/>
      <c r="N91" s="147"/>
      <c r="O91" s="147"/>
      <c r="P91" s="147"/>
      <c r="Q91" s="147"/>
      <c r="R91" s="147"/>
      <c r="S91" s="147"/>
      <c r="T91" s="147"/>
      <c r="U91" s="148"/>
      <c r="V91" s="58"/>
      <c r="W91" s="118"/>
      <c r="AA91" s="56"/>
      <c r="AB91" s="56"/>
      <c r="AL91" s="59"/>
    </row>
    <row r="92" spans="1:38" s="56" customFormat="1" ht="30" customHeight="1" x14ac:dyDescent="0.35">
      <c r="A92" s="69">
        <v>9</v>
      </c>
      <c r="B92" s="143" t="s">
        <v>114</v>
      </c>
      <c r="C92" s="144"/>
      <c r="D92" s="144"/>
      <c r="E92" s="144"/>
      <c r="F92" s="144"/>
      <c r="G92" s="144"/>
      <c r="H92" s="144"/>
      <c r="I92" s="144"/>
      <c r="J92" s="144"/>
      <c r="K92" s="144"/>
      <c r="L92" s="144"/>
      <c r="M92" s="144"/>
      <c r="N92" s="144"/>
      <c r="O92" s="144"/>
      <c r="P92" s="144"/>
      <c r="Q92" s="144"/>
      <c r="R92" s="144"/>
      <c r="S92" s="144"/>
      <c r="T92" s="144"/>
      <c r="U92" s="145"/>
      <c r="V92" s="57"/>
      <c r="W92" s="118"/>
      <c r="AL92" s="118"/>
    </row>
    <row r="93" spans="1:38" s="56" customFormat="1" ht="30" customHeight="1" x14ac:dyDescent="0.35">
      <c r="A93" s="69"/>
      <c r="B93" s="140" t="s">
        <v>36</v>
      </c>
      <c r="C93" s="141"/>
      <c r="D93" s="141"/>
      <c r="E93" s="141"/>
      <c r="F93" s="141"/>
      <c r="G93" s="141"/>
      <c r="H93" s="141"/>
      <c r="I93" s="141"/>
      <c r="J93" s="141"/>
      <c r="K93" s="141"/>
      <c r="L93" s="141"/>
      <c r="M93" s="141"/>
      <c r="N93" s="141"/>
      <c r="O93" s="141"/>
      <c r="P93" s="141"/>
      <c r="Q93" s="141"/>
      <c r="R93" s="141"/>
      <c r="S93" s="141"/>
      <c r="T93" s="141"/>
      <c r="U93" s="142"/>
      <c r="V93" s="57"/>
      <c r="W93" s="118"/>
      <c r="AL93" s="118"/>
    </row>
    <row r="94" spans="1:38" s="56" customFormat="1" ht="30" customHeight="1" x14ac:dyDescent="0.35">
      <c r="A94" s="92"/>
      <c r="B94" s="140" t="s">
        <v>27</v>
      </c>
      <c r="C94" s="141"/>
      <c r="D94" s="141"/>
      <c r="E94" s="141"/>
      <c r="F94" s="141"/>
      <c r="G94" s="141"/>
      <c r="H94" s="141"/>
      <c r="I94" s="141"/>
      <c r="J94" s="141"/>
      <c r="K94" s="141"/>
      <c r="L94" s="141"/>
      <c r="M94" s="141"/>
      <c r="N94" s="141"/>
      <c r="O94" s="141"/>
      <c r="P94" s="141"/>
      <c r="Q94" s="141"/>
      <c r="R94" s="141"/>
      <c r="S94" s="141"/>
      <c r="T94" s="141"/>
      <c r="U94" s="142"/>
      <c r="V94" s="57"/>
      <c r="W94" s="118"/>
      <c r="AL94" s="118"/>
    </row>
    <row r="95" spans="1:38" s="56" customFormat="1" ht="30" customHeight="1" x14ac:dyDescent="0.35">
      <c r="A95" s="92"/>
      <c r="B95" s="140" t="s">
        <v>28</v>
      </c>
      <c r="C95" s="141"/>
      <c r="D95" s="141"/>
      <c r="E95" s="141"/>
      <c r="F95" s="141"/>
      <c r="G95" s="141"/>
      <c r="H95" s="141"/>
      <c r="I95" s="141"/>
      <c r="J95" s="141"/>
      <c r="K95" s="141"/>
      <c r="L95" s="141"/>
      <c r="M95" s="141"/>
      <c r="N95" s="141"/>
      <c r="O95" s="141"/>
      <c r="P95" s="141"/>
      <c r="Q95" s="141"/>
      <c r="R95" s="141"/>
      <c r="S95" s="141"/>
      <c r="T95" s="141"/>
      <c r="U95" s="142"/>
      <c r="V95" s="57"/>
      <c r="W95" s="118"/>
      <c r="AL95" s="118"/>
    </row>
    <row r="96" spans="1:38" s="56" customFormat="1" ht="30" customHeight="1" x14ac:dyDescent="0.35">
      <c r="A96" s="69"/>
      <c r="B96" s="140" t="s">
        <v>29</v>
      </c>
      <c r="C96" s="141"/>
      <c r="D96" s="141"/>
      <c r="E96" s="141"/>
      <c r="F96" s="141"/>
      <c r="G96" s="141"/>
      <c r="H96" s="141"/>
      <c r="I96" s="141"/>
      <c r="J96" s="141"/>
      <c r="K96" s="141"/>
      <c r="L96" s="141"/>
      <c r="M96" s="141"/>
      <c r="N96" s="141"/>
      <c r="O96" s="141"/>
      <c r="P96" s="141"/>
      <c r="Q96" s="141"/>
      <c r="R96" s="141"/>
      <c r="S96" s="141"/>
      <c r="T96" s="141"/>
      <c r="U96" s="142"/>
      <c r="V96" s="57"/>
      <c r="W96" s="118"/>
      <c r="AL96" s="118"/>
    </row>
    <row r="97" spans="1:38" s="56" customFormat="1" ht="45" customHeight="1" x14ac:dyDescent="0.35">
      <c r="A97" s="69"/>
      <c r="B97" s="140" t="s">
        <v>115</v>
      </c>
      <c r="C97" s="141"/>
      <c r="D97" s="141"/>
      <c r="E97" s="141"/>
      <c r="F97" s="141"/>
      <c r="G97" s="141"/>
      <c r="H97" s="141"/>
      <c r="I97" s="141"/>
      <c r="J97" s="141"/>
      <c r="K97" s="141"/>
      <c r="L97" s="141"/>
      <c r="M97" s="141"/>
      <c r="N97" s="141"/>
      <c r="O97" s="141"/>
      <c r="P97" s="141"/>
      <c r="Q97" s="141"/>
      <c r="R97" s="141"/>
      <c r="S97" s="141"/>
      <c r="T97" s="141"/>
      <c r="U97" s="142"/>
      <c r="V97" s="57"/>
      <c r="W97" s="118"/>
      <c r="AL97" s="118"/>
    </row>
    <row r="98" spans="1:38" s="56" customFormat="1" ht="30" customHeight="1" x14ac:dyDescent="0.35">
      <c r="A98" s="92"/>
      <c r="B98" s="140" t="s">
        <v>97</v>
      </c>
      <c r="C98" s="141"/>
      <c r="D98" s="141"/>
      <c r="E98" s="141"/>
      <c r="F98" s="141"/>
      <c r="G98" s="141"/>
      <c r="H98" s="141"/>
      <c r="I98" s="141"/>
      <c r="J98" s="141"/>
      <c r="K98" s="141"/>
      <c r="L98" s="141"/>
      <c r="M98" s="141"/>
      <c r="N98" s="141"/>
      <c r="O98" s="141"/>
      <c r="P98" s="141"/>
      <c r="Q98" s="141"/>
      <c r="R98" s="141"/>
      <c r="S98" s="141"/>
      <c r="T98" s="141"/>
      <c r="U98" s="142"/>
      <c r="V98" s="57"/>
      <c r="W98" s="118"/>
      <c r="AL98" s="118"/>
    </row>
    <row r="99" spans="1:38" s="56" customFormat="1" ht="30" customHeight="1" x14ac:dyDescent="0.35">
      <c r="A99" s="92"/>
      <c r="B99" s="140" t="s">
        <v>98</v>
      </c>
      <c r="C99" s="141"/>
      <c r="D99" s="141"/>
      <c r="E99" s="141"/>
      <c r="F99" s="141"/>
      <c r="G99" s="141"/>
      <c r="H99" s="141"/>
      <c r="I99" s="141"/>
      <c r="J99" s="141"/>
      <c r="K99" s="141"/>
      <c r="L99" s="141"/>
      <c r="M99" s="141"/>
      <c r="N99" s="141"/>
      <c r="O99" s="141"/>
      <c r="P99" s="141"/>
      <c r="Q99" s="141"/>
      <c r="R99" s="141"/>
      <c r="S99" s="141"/>
      <c r="T99" s="141"/>
      <c r="U99" s="142"/>
      <c r="V99" s="57"/>
      <c r="W99" s="118"/>
      <c r="AL99" s="118"/>
    </row>
    <row r="100" spans="1:38" s="56" customFormat="1" ht="30" customHeight="1" x14ac:dyDescent="0.35">
      <c r="A100" s="92"/>
      <c r="B100" s="140" t="s">
        <v>30</v>
      </c>
      <c r="C100" s="141"/>
      <c r="D100" s="141"/>
      <c r="E100" s="141"/>
      <c r="F100" s="141"/>
      <c r="G100" s="141"/>
      <c r="H100" s="141"/>
      <c r="I100" s="141"/>
      <c r="J100" s="141"/>
      <c r="K100" s="141"/>
      <c r="L100" s="141"/>
      <c r="M100" s="141"/>
      <c r="N100" s="141"/>
      <c r="O100" s="141"/>
      <c r="P100" s="141"/>
      <c r="Q100" s="141"/>
      <c r="R100" s="141"/>
      <c r="S100" s="141"/>
      <c r="T100" s="141"/>
      <c r="U100" s="142"/>
      <c r="V100" s="57"/>
      <c r="W100" s="118"/>
      <c r="AL100" s="118"/>
    </row>
    <row r="101" spans="1:38" s="56" customFormat="1" ht="30" customHeight="1" thickBot="1" x14ac:dyDescent="0.4">
      <c r="A101" s="92"/>
      <c r="B101" s="146" t="s">
        <v>31</v>
      </c>
      <c r="C101" s="147"/>
      <c r="D101" s="147"/>
      <c r="E101" s="147"/>
      <c r="F101" s="147"/>
      <c r="G101" s="147"/>
      <c r="H101" s="147"/>
      <c r="I101" s="147"/>
      <c r="J101" s="147"/>
      <c r="K101" s="147"/>
      <c r="L101" s="147"/>
      <c r="M101" s="147"/>
      <c r="N101" s="147"/>
      <c r="O101" s="147"/>
      <c r="P101" s="147"/>
      <c r="Q101" s="147"/>
      <c r="R101" s="147"/>
      <c r="S101" s="147"/>
      <c r="T101" s="147"/>
      <c r="U101" s="148"/>
      <c r="V101" s="57"/>
      <c r="W101" s="118"/>
      <c r="AL101" s="118"/>
    </row>
    <row r="102" spans="1:38" s="55" customFormat="1" ht="30" customHeight="1" x14ac:dyDescent="0.35">
      <c r="A102" s="69">
        <v>10</v>
      </c>
      <c r="B102" s="143" t="s">
        <v>113</v>
      </c>
      <c r="C102" s="144"/>
      <c r="D102" s="144"/>
      <c r="E102" s="144"/>
      <c r="F102" s="144"/>
      <c r="G102" s="144"/>
      <c r="H102" s="144"/>
      <c r="I102" s="144"/>
      <c r="J102" s="144"/>
      <c r="K102" s="144"/>
      <c r="L102" s="144"/>
      <c r="M102" s="144"/>
      <c r="N102" s="144"/>
      <c r="O102" s="144"/>
      <c r="P102" s="144"/>
      <c r="Q102" s="144"/>
      <c r="R102" s="144"/>
      <c r="S102" s="144"/>
      <c r="T102" s="144"/>
      <c r="U102" s="145"/>
      <c r="V102" s="58"/>
      <c r="W102" s="118"/>
      <c r="AA102" s="56"/>
      <c r="AB102" s="56"/>
      <c r="AL102" s="59"/>
    </row>
    <row r="103" spans="1:38" s="55" customFormat="1" ht="30" customHeight="1" x14ac:dyDescent="0.35">
      <c r="A103" s="69"/>
      <c r="B103" s="140" t="s">
        <v>66</v>
      </c>
      <c r="C103" s="141"/>
      <c r="D103" s="141"/>
      <c r="E103" s="141"/>
      <c r="F103" s="141"/>
      <c r="G103" s="141"/>
      <c r="H103" s="141"/>
      <c r="I103" s="141"/>
      <c r="J103" s="141"/>
      <c r="K103" s="141"/>
      <c r="L103" s="141"/>
      <c r="M103" s="141"/>
      <c r="N103" s="141"/>
      <c r="O103" s="141"/>
      <c r="P103" s="141"/>
      <c r="Q103" s="141"/>
      <c r="R103" s="141"/>
      <c r="S103" s="141"/>
      <c r="T103" s="141"/>
      <c r="U103" s="142"/>
      <c r="V103" s="58"/>
      <c r="W103" s="153"/>
      <c r="AA103" s="56"/>
      <c r="AB103" s="56"/>
      <c r="AL103" s="59"/>
    </row>
    <row r="104" spans="1:38" s="55" customFormat="1" ht="30" customHeight="1" thickBot="1" x14ac:dyDescent="0.4">
      <c r="A104" s="92"/>
      <c r="B104" s="146" t="s">
        <v>37</v>
      </c>
      <c r="C104" s="147"/>
      <c r="D104" s="147"/>
      <c r="E104" s="147"/>
      <c r="F104" s="147"/>
      <c r="G104" s="147"/>
      <c r="H104" s="147"/>
      <c r="I104" s="147"/>
      <c r="J104" s="147"/>
      <c r="K104" s="147"/>
      <c r="L104" s="147"/>
      <c r="M104" s="147"/>
      <c r="N104" s="147"/>
      <c r="O104" s="147"/>
      <c r="P104" s="147"/>
      <c r="Q104" s="147"/>
      <c r="R104" s="147"/>
      <c r="S104" s="147"/>
      <c r="T104" s="147"/>
      <c r="U104" s="148"/>
      <c r="V104" s="58"/>
      <c r="W104" s="153"/>
      <c r="AA104" s="56"/>
      <c r="AB104" s="56"/>
      <c r="AL104" s="59"/>
    </row>
    <row r="105" spans="1:38" s="55" customFormat="1" ht="30" customHeight="1" x14ac:dyDescent="0.35">
      <c r="A105" s="69">
        <v>11</v>
      </c>
      <c r="B105" s="143" t="s">
        <v>133</v>
      </c>
      <c r="C105" s="144"/>
      <c r="D105" s="144"/>
      <c r="E105" s="144"/>
      <c r="F105" s="144"/>
      <c r="G105" s="144"/>
      <c r="H105" s="144"/>
      <c r="I105" s="144"/>
      <c r="J105" s="144"/>
      <c r="K105" s="144"/>
      <c r="L105" s="144"/>
      <c r="M105" s="144"/>
      <c r="N105" s="144"/>
      <c r="O105" s="144"/>
      <c r="P105" s="144"/>
      <c r="Q105" s="144"/>
      <c r="R105" s="144"/>
      <c r="S105" s="144"/>
      <c r="T105" s="144"/>
      <c r="U105" s="145"/>
      <c r="V105" s="58"/>
      <c r="W105" s="153"/>
      <c r="AA105" s="56"/>
      <c r="AB105" s="56"/>
      <c r="AL105" s="59"/>
    </row>
    <row r="106" spans="1:38" s="55" customFormat="1" ht="30" customHeight="1" x14ac:dyDescent="0.35">
      <c r="A106" s="92"/>
      <c r="B106" s="140" t="s">
        <v>27</v>
      </c>
      <c r="C106" s="141"/>
      <c r="D106" s="141"/>
      <c r="E106" s="141"/>
      <c r="F106" s="141"/>
      <c r="G106" s="141"/>
      <c r="H106" s="141"/>
      <c r="I106" s="141"/>
      <c r="J106" s="141"/>
      <c r="K106" s="141"/>
      <c r="L106" s="141"/>
      <c r="M106" s="141"/>
      <c r="N106" s="141"/>
      <c r="O106" s="141"/>
      <c r="P106" s="141"/>
      <c r="Q106" s="141"/>
      <c r="R106" s="141"/>
      <c r="S106" s="141"/>
      <c r="T106" s="141"/>
      <c r="U106" s="142"/>
      <c r="V106" s="58"/>
      <c r="W106" s="153"/>
      <c r="AA106" s="56"/>
      <c r="AB106" s="56"/>
      <c r="AL106" s="59"/>
    </row>
    <row r="107" spans="1:38" s="55" customFormat="1" ht="30" customHeight="1" x14ac:dyDescent="0.35">
      <c r="A107" s="92"/>
      <c r="B107" s="140" t="s">
        <v>28</v>
      </c>
      <c r="C107" s="141"/>
      <c r="D107" s="141"/>
      <c r="E107" s="141"/>
      <c r="F107" s="141"/>
      <c r="G107" s="141"/>
      <c r="H107" s="141"/>
      <c r="I107" s="141"/>
      <c r="J107" s="141"/>
      <c r="K107" s="141"/>
      <c r="L107" s="141"/>
      <c r="M107" s="141"/>
      <c r="N107" s="141"/>
      <c r="O107" s="141"/>
      <c r="P107" s="141"/>
      <c r="Q107" s="141"/>
      <c r="R107" s="141"/>
      <c r="S107" s="141"/>
      <c r="T107" s="141"/>
      <c r="U107" s="142"/>
      <c r="V107" s="58"/>
      <c r="W107" s="153"/>
      <c r="AA107" s="56"/>
      <c r="AB107" s="56"/>
      <c r="AL107" s="59"/>
    </row>
    <row r="108" spans="1:38" s="55" customFormat="1" ht="30" customHeight="1" x14ac:dyDescent="0.35">
      <c r="A108" s="92"/>
      <c r="B108" s="140" t="s">
        <v>29</v>
      </c>
      <c r="C108" s="141"/>
      <c r="D108" s="141"/>
      <c r="E108" s="141"/>
      <c r="F108" s="141"/>
      <c r="G108" s="141"/>
      <c r="H108" s="141"/>
      <c r="I108" s="141"/>
      <c r="J108" s="141"/>
      <c r="K108" s="141"/>
      <c r="L108" s="141"/>
      <c r="M108" s="141"/>
      <c r="N108" s="141"/>
      <c r="O108" s="141"/>
      <c r="P108" s="141"/>
      <c r="Q108" s="141"/>
      <c r="R108" s="141"/>
      <c r="S108" s="141"/>
      <c r="T108" s="141"/>
      <c r="U108" s="142"/>
      <c r="V108" s="58"/>
      <c r="W108" s="153"/>
      <c r="AA108" s="56"/>
      <c r="AB108" s="56"/>
      <c r="AL108" s="59"/>
    </row>
    <row r="109" spans="1:38" s="55" customFormat="1" ht="30" customHeight="1" x14ac:dyDescent="0.35">
      <c r="A109" s="92"/>
      <c r="B109" s="140" t="s">
        <v>116</v>
      </c>
      <c r="C109" s="141"/>
      <c r="D109" s="141"/>
      <c r="E109" s="141"/>
      <c r="F109" s="141"/>
      <c r="G109" s="141"/>
      <c r="H109" s="141"/>
      <c r="I109" s="141"/>
      <c r="J109" s="141"/>
      <c r="K109" s="141"/>
      <c r="L109" s="141"/>
      <c r="M109" s="141"/>
      <c r="N109" s="141"/>
      <c r="O109" s="141"/>
      <c r="P109" s="141"/>
      <c r="Q109" s="141"/>
      <c r="R109" s="141"/>
      <c r="S109" s="141"/>
      <c r="T109" s="141"/>
      <c r="U109" s="142"/>
      <c r="V109" s="58"/>
      <c r="W109" s="153"/>
      <c r="AA109" s="56"/>
      <c r="AB109" s="56"/>
      <c r="AL109" s="59"/>
    </row>
    <row r="110" spans="1:38" s="55" customFormat="1" ht="30" customHeight="1" x14ac:dyDescent="0.35">
      <c r="A110" s="92"/>
      <c r="B110" s="140" t="s">
        <v>32</v>
      </c>
      <c r="C110" s="141"/>
      <c r="D110" s="141"/>
      <c r="E110" s="141"/>
      <c r="F110" s="141"/>
      <c r="G110" s="141"/>
      <c r="H110" s="141"/>
      <c r="I110" s="141"/>
      <c r="J110" s="141"/>
      <c r="K110" s="141"/>
      <c r="L110" s="141"/>
      <c r="M110" s="141"/>
      <c r="N110" s="141"/>
      <c r="O110" s="141"/>
      <c r="P110" s="141"/>
      <c r="Q110" s="141"/>
      <c r="R110" s="141"/>
      <c r="S110" s="141"/>
      <c r="T110" s="141"/>
      <c r="U110" s="142"/>
      <c r="V110" s="58"/>
      <c r="W110" s="153"/>
      <c r="AA110" s="56"/>
      <c r="AB110" s="56"/>
      <c r="AL110" s="59"/>
    </row>
    <row r="111" spans="1:38" s="55" customFormat="1" ht="30" customHeight="1" x14ac:dyDescent="0.35">
      <c r="A111" s="92"/>
      <c r="B111" s="140" t="s">
        <v>138</v>
      </c>
      <c r="C111" s="141"/>
      <c r="D111" s="141"/>
      <c r="E111" s="141"/>
      <c r="F111" s="141"/>
      <c r="G111" s="141"/>
      <c r="H111" s="141"/>
      <c r="I111" s="141"/>
      <c r="J111" s="141"/>
      <c r="K111" s="141"/>
      <c r="L111" s="141"/>
      <c r="M111" s="141"/>
      <c r="N111" s="141"/>
      <c r="O111" s="141"/>
      <c r="P111" s="141"/>
      <c r="Q111" s="141"/>
      <c r="R111" s="141"/>
      <c r="S111" s="141"/>
      <c r="T111" s="141"/>
      <c r="U111" s="142"/>
      <c r="V111" s="58"/>
      <c r="W111" s="153"/>
      <c r="AA111" s="56"/>
      <c r="AB111" s="56"/>
      <c r="AL111" s="59"/>
    </row>
    <row r="112" spans="1:38" s="55" customFormat="1" ht="30" customHeight="1" thickBot="1" x14ac:dyDescent="0.4">
      <c r="A112" s="92"/>
      <c r="B112" s="140" t="s">
        <v>32</v>
      </c>
      <c r="C112" s="141"/>
      <c r="D112" s="141"/>
      <c r="E112" s="141"/>
      <c r="F112" s="141"/>
      <c r="G112" s="141"/>
      <c r="H112" s="141"/>
      <c r="I112" s="141"/>
      <c r="J112" s="141"/>
      <c r="K112" s="141"/>
      <c r="L112" s="141"/>
      <c r="M112" s="141"/>
      <c r="N112" s="141"/>
      <c r="O112" s="141"/>
      <c r="P112" s="141"/>
      <c r="Q112" s="141"/>
      <c r="R112" s="141"/>
      <c r="S112" s="141"/>
      <c r="T112" s="141"/>
      <c r="U112" s="142"/>
      <c r="V112" s="58"/>
      <c r="W112" s="153"/>
      <c r="AA112" s="56"/>
      <c r="AB112" s="56"/>
      <c r="AL112" s="59"/>
    </row>
    <row r="113" spans="1:38" s="55" customFormat="1" ht="30" customHeight="1" x14ac:dyDescent="0.35">
      <c r="A113" s="69">
        <v>12</v>
      </c>
      <c r="B113" s="143" t="s">
        <v>117</v>
      </c>
      <c r="C113" s="144"/>
      <c r="D113" s="144"/>
      <c r="E113" s="144"/>
      <c r="F113" s="144"/>
      <c r="G113" s="144"/>
      <c r="H113" s="144"/>
      <c r="I113" s="144"/>
      <c r="J113" s="144"/>
      <c r="K113" s="144"/>
      <c r="L113" s="144"/>
      <c r="M113" s="144"/>
      <c r="N113" s="144"/>
      <c r="O113" s="144"/>
      <c r="P113" s="144"/>
      <c r="Q113" s="144"/>
      <c r="R113" s="144"/>
      <c r="S113" s="144"/>
      <c r="T113" s="144"/>
      <c r="U113" s="145"/>
      <c r="V113" s="58"/>
      <c r="W113" s="153"/>
      <c r="AA113" s="56"/>
      <c r="AB113" s="56"/>
      <c r="AL113" s="59"/>
    </row>
    <row r="114" spans="1:38" s="55" customFormat="1" ht="30" customHeight="1" x14ac:dyDescent="0.35">
      <c r="A114" s="92"/>
      <c r="B114" s="140" t="s">
        <v>61</v>
      </c>
      <c r="C114" s="141"/>
      <c r="D114" s="141"/>
      <c r="E114" s="141"/>
      <c r="F114" s="141"/>
      <c r="G114" s="141"/>
      <c r="H114" s="141"/>
      <c r="I114" s="141"/>
      <c r="J114" s="141"/>
      <c r="K114" s="141"/>
      <c r="L114" s="141"/>
      <c r="M114" s="141"/>
      <c r="N114" s="141"/>
      <c r="O114" s="141"/>
      <c r="P114" s="141"/>
      <c r="Q114" s="141"/>
      <c r="R114" s="141"/>
      <c r="S114" s="141"/>
      <c r="T114" s="141"/>
      <c r="U114" s="142"/>
      <c r="V114" s="58"/>
      <c r="W114" s="153"/>
      <c r="AA114" s="56"/>
      <c r="AB114" s="56"/>
      <c r="AL114" s="59"/>
    </row>
    <row r="115" spans="1:38" s="55" customFormat="1" ht="30" customHeight="1" x14ac:dyDescent="0.35">
      <c r="A115" s="92"/>
      <c r="B115" s="140" t="s">
        <v>28</v>
      </c>
      <c r="C115" s="141"/>
      <c r="D115" s="141"/>
      <c r="E115" s="141"/>
      <c r="F115" s="141"/>
      <c r="G115" s="141"/>
      <c r="H115" s="141"/>
      <c r="I115" s="141"/>
      <c r="J115" s="141"/>
      <c r="K115" s="141"/>
      <c r="L115" s="141"/>
      <c r="M115" s="141"/>
      <c r="N115" s="141"/>
      <c r="O115" s="141"/>
      <c r="P115" s="141"/>
      <c r="Q115" s="141"/>
      <c r="R115" s="141"/>
      <c r="S115" s="141"/>
      <c r="T115" s="141"/>
      <c r="U115" s="142"/>
      <c r="V115" s="58"/>
      <c r="W115" s="153"/>
      <c r="AA115" s="56"/>
      <c r="AB115" s="56"/>
      <c r="AL115" s="59"/>
    </row>
    <row r="116" spans="1:38" s="55" customFormat="1" ht="30" customHeight="1" x14ac:dyDescent="0.35">
      <c r="A116" s="92"/>
      <c r="B116" s="140" t="s">
        <v>29</v>
      </c>
      <c r="C116" s="141"/>
      <c r="D116" s="141"/>
      <c r="E116" s="141"/>
      <c r="F116" s="141"/>
      <c r="G116" s="141"/>
      <c r="H116" s="141"/>
      <c r="I116" s="141"/>
      <c r="J116" s="141"/>
      <c r="K116" s="141"/>
      <c r="L116" s="141"/>
      <c r="M116" s="141"/>
      <c r="N116" s="141"/>
      <c r="O116" s="141"/>
      <c r="P116" s="141"/>
      <c r="Q116" s="141"/>
      <c r="R116" s="141"/>
      <c r="S116" s="141"/>
      <c r="T116" s="141"/>
      <c r="U116" s="142"/>
      <c r="V116" s="58"/>
      <c r="W116" s="153"/>
      <c r="AA116" s="56"/>
      <c r="AB116" s="56"/>
      <c r="AL116" s="59"/>
    </row>
    <row r="117" spans="1:38" s="55" customFormat="1" ht="30" customHeight="1" x14ac:dyDescent="0.35">
      <c r="A117" s="92"/>
      <c r="B117" s="140" t="s">
        <v>116</v>
      </c>
      <c r="C117" s="141"/>
      <c r="D117" s="141"/>
      <c r="E117" s="141"/>
      <c r="F117" s="141"/>
      <c r="G117" s="141"/>
      <c r="H117" s="141"/>
      <c r="I117" s="141"/>
      <c r="J117" s="141"/>
      <c r="K117" s="141"/>
      <c r="L117" s="141"/>
      <c r="M117" s="141"/>
      <c r="N117" s="141"/>
      <c r="O117" s="141"/>
      <c r="P117" s="141"/>
      <c r="Q117" s="141"/>
      <c r="R117" s="141"/>
      <c r="S117" s="141"/>
      <c r="T117" s="141"/>
      <c r="U117" s="142"/>
      <c r="V117" s="58"/>
      <c r="W117" s="153"/>
      <c r="AA117" s="56"/>
      <c r="AB117" s="56"/>
      <c r="AL117" s="59"/>
    </row>
    <row r="118" spans="1:38" s="55" customFormat="1" ht="30" customHeight="1" x14ac:dyDescent="0.35">
      <c r="A118" s="92"/>
      <c r="B118" s="140" t="s">
        <v>32</v>
      </c>
      <c r="C118" s="141"/>
      <c r="D118" s="141"/>
      <c r="E118" s="141"/>
      <c r="F118" s="141"/>
      <c r="G118" s="141"/>
      <c r="H118" s="141"/>
      <c r="I118" s="141"/>
      <c r="J118" s="141"/>
      <c r="K118" s="141"/>
      <c r="L118" s="141"/>
      <c r="M118" s="141"/>
      <c r="N118" s="141"/>
      <c r="O118" s="141"/>
      <c r="P118" s="141"/>
      <c r="Q118" s="141"/>
      <c r="R118" s="141"/>
      <c r="S118" s="141"/>
      <c r="T118" s="141"/>
      <c r="U118" s="142"/>
      <c r="V118" s="58"/>
      <c r="W118" s="153"/>
      <c r="AA118" s="56"/>
      <c r="AB118" s="56"/>
      <c r="AL118" s="59"/>
    </row>
    <row r="119" spans="1:38" s="55" customFormat="1" ht="30" customHeight="1" x14ac:dyDescent="0.35">
      <c r="A119" s="92"/>
      <c r="B119" s="140" t="s">
        <v>137</v>
      </c>
      <c r="C119" s="141"/>
      <c r="D119" s="141"/>
      <c r="E119" s="141"/>
      <c r="F119" s="141"/>
      <c r="G119" s="141"/>
      <c r="H119" s="141"/>
      <c r="I119" s="141"/>
      <c r="J119" s="141"/>
      <c r="K119" s="141"/>
      <c r="L119" s="141"/>
      <c r="M119" s="141"/>
      <c r="N119" s="141"/>
      <c r="O119" s="141"/>
      <c r="P119" s="141"/>
      <c r="Q119" s="141"/>
      <c r="R119" s="141"/>
      <c r="S119" s="141"/>
      <c r="T119" s="141"/>
      <c r="U119" s="142"/>
      <c r="V119" s="58"/>
      <c r="W119" s="153"/>
      <c r="AA119" s="56"/>
      <c r="AB119" s="56"/>
      <c r="AL119" s="59"/>
    </row>
    <row r="120" spans="1:38" s="55" customFormat="1" ht="30" customHeight="1" thickBot="1" x14ac:dyDescent="0.4">
      <c r="A120" s="92"/>
      <c r="B120" s="140" t="s">
        <v>32</v>
      </c>
      <c r="C120" s="141"/>
      <c r="D120" s="141"/>
      <c r="E120" s="141"/>
      <c r="F120" s="141"/>
      <c r="G120" s="141"/>
      <c r="H120" s="141"/>
      <c r="I120" s="141"/>
      <c r="J120" s="141"/>
      <c r="K120" s="141"/>
      <c r="L120" s="141"/>
      <c r="M120" s="141"/>
      <c r="N120" s="141"/>
      <c r="O120" s="141"/>
      <c r="P120" s="141"/>
      <c r="Q120" s="141"/>
      <c r="R120" s="141"/>
      <c r="S120" s="141"/>
      <c r="T120" s="141"/>
      <c r="U120" s="142"/>
      <c r="V120" s="58"/>
      <c r="W120" s="153"/>
      <c r="AA120" s="56"/>
      <c r="AB120" s="56"/>
      <c r="AL120" s="59"/>
    </row>
    <row r="121" spans="1:38" s="55" customFormat="1" ht="30" customHeight="1" x14ac:dyDescent="0.35">
      <c r="A121" s="69">
        <v>13</v>
      </c>
      <c r="B121" s="143" t="s">
        <v>118</v>
      </c>
      <c r="C121" s="144"/>
      <c r="D121" s="144"/>
      <c r="E121" s="144"/>
      <c r="F121" s="144"/>
      <c r="G121" s="144"/>
      <c r="H121" s="144"/>
      <c r="I121" s="144"/>
      <c r="J121" s="144"/>
      <c r="K121" s="144"/>
      <c r="L121" s="144"/>
      <c r="M121" s="144"/>
      <c r="N121" s="144"/>
      <c r="O121" s="144"/>
      <c r="P121" s="144"/>
      <c r="Q121" s="144"/>
      <c r="R121" s="144"/>
      <c r="S121" s="144"/>
      <c r="T121" s="144"/>
      <c r="U121" s="145"/>
      <c r="V121" s="58"/>
      <c r="W121" s="153"/>
      <c r="AA121" s="56"/>
      <c r="AB121" s="56"/>
      <c r="AL121" s="59"/>
    </row>
    <row r="122" spans="1:38" s="55" customFormat="1" ht="30" customHeight="1" x14ac:dyDescent="0.35">
      <c r="A122" s="92"/>
      <c r="B122" s="140" t="s">
        <v>128</v>
      </c>
      <c r="C122" s="141"/>
      <c r="D122" s="141"/>
      <c r="E122" s="141"/>
      <c r="F122" s="141"/>
      <c r="G122" s="141"/>
      <c r="H122" s="141"/>
      <c r="I122" s="141"/>
      <c r="J122" s="141"/>
      <c r="K122" s="141"/>
      <c r="L122" s="141"/>
      <c r="M122" s="141"/>
      <c r="N122" s="141"/>
      <c r="O122" s="141"/>
      <c r="P122" s="141"/>
      <c r="Q122" s="141"/>
      <c r="R122" s="141"/>
      <c r="S122" s="141"/>
      <c r="T122" s="141"/>
      <c r="U122" s="142"/>
      <c r="V122" s="58"/>
      <c r="W122" s="153"/>
      <c r="AA122" s="56"/>
      <c r="AB122" s="56"/>
      <c r="AL122" s="59"/>
    </row>
    <row r="123" spans="1:38" s="55" customFormat="1" ht="30" customHeight="1" x14ac:dyDescent="0.35">
      <c r="A123" s="92"/>
      <c r="B123" s="140" t="s">
        <v>67</v>
      </c>
      <c r="C123" s="141"/>
      <c r="D123" s="141"/>
      <c r="E123" s="141"/>
      <c r="F123" s="141"/>
      <c r="G123" s="141"/>
      <c r="H123" s="141"/>
      <c r="I123" s="141"/>
      <c r="J123" s="141"/>
      <c r="K123" s="141"/>
      <c r="L123" s="141"/>
      <c r="M123" s="141"/>
      <c r="N123" s="141"/>
      <c r="O123" s="141"/>
      <c r="P123" s="141"/>
      <c r="Q123" s="141"/>
      <c r="R123" s="141"/>
      <c r="S123" s="141"/>
      <c r="T123" s="141"/>
      <c r="U123" s="142"/>
      <c r="V123" s="58"/>
      <c r="W123" s="153"/>
      <c r="AA123" s="56"/>
      <c r="AB123" s="56"/>
      <c r="AL123" s="59"/>
    </row>
    <row r="124" spans="1:38" s="55" customFormat="1" ht="30" customHeight="1" x14ac:dyDescent="0.35">
      <c r="A124" s="92"/>
      <c r="B124" s="140" t="s">
        <v>32</v>
      </c>
      <c r="C124" s="141"/>
      <c r="D124" s="141"/>
      <c r="E124" s="141"/>
      <c r="F124" s="141"/>
      <c r="G124" s="141"/>
      <c r="H124" s="141"/>
      <c r="I124" s="141"/>
      <c r="J124" s="141"/>
      <c r="K124" s="141"/>
      <c r="L124" s="141"/>
      <c r="M124" s="141"/>
      <c r="N124" s="141"/>
      <c r="O124" s="141"/>
      <c r="P124" s="141"/>
      <c r="Q124" s="141"/>
      <c r="R124" s="141"/>
      <c r="S124" s="141"/>
      <c r="T124" s="141"/>
      <c r="U124" s="142"/>
      <c r="V124" s="58"/>
      <c r="W124" s="153"/>
      <c r="AA124" s="56"/>
      <c r="AB124" s="56"/>
      <c r="AL124" s="59"/>
    </row>
    <row r="125" spans="1:38" s="55" customFormat="1" ht="30" customHeight="1" x14ac:dyDescent="0.35">
      <c r="A125" s="92"/>
      <c r="B125" s="140" t="s">
        <v>136</v>
      </c>
      <c r="C125" s="141"/>
      <c r="D125" s="141"/>
      <c r="E125" s="141"/>
      <c r="F125" s="141"/>
      <c r="G125" s="141"/>
      <c r="H125" s="141"/>
      <c r="I125" s="141"/>
      <c r="J125" s="141"/>
      <c r="K125" s="141"/>
      <c r="L125" s="141"/>
      <c r="M125" s="141"/>
      <c r="N125" s="141"/>
      <c r="O125" s="141"/>
      <c r="P125" s="141"/>
      <c r="Q125" s="141"/>
      <c r="R125" s="141"/>
      <c r="S125" s="141"/>
      <c r="T125" s="141"/>
      <c r="U125" s="142"/>
      <c r="V125" s="58"/>
      <c r="W125" s="153"/>
      <c r="AA125" s="56"/>
      <c r="AB125" s="56"/>
      <c r="AL125" s="59"/>
    </row>
    <row r="126" spans="1:38" s="55" customFormat="1" ht="30" customHeight="1" x14ac:dyDescent="0.35">
      <c r="A126" s="92"/>
      <c r="B126" s="140" t="s">
        <v>129</v>
      </c>
      <c r="C126" s="141"/>
      <c r="D126" s="141"/>
      <c r="E126" s="141"/>
      <c r="F126" s="141"/>
      <c r="G126" s="141"/>
      <c r="H126" s="141"/>
      <c r="I126" s="141"/>
      <c r="J126" s="141"/>
      <c r="K126" s="141"/>
      <c r="L126" s="141"/>
      <c r="M126" s="141"/>
      <c r="N126" s="141"/>
      <c r="O126" s="141"/>
      <c r="P126" s="141"/>
      <c r="Q126" s="141"/>
      <c r="R126" s="141"/>
      <c r="S126" s="141"/>
      <c r="T126" s="141"/>
      <c r="U126" s="142"/>
      <c r="V126" s="58"/>
      <c r="W126" s="153"/>
      <c r="AA126" s="56"/>
      <c r="AB126" s="56"/>
      <c r="AL126" s="59"/>
    </row>
    <row r="127" spans="1:38" s="55" customFormat="1" ht="30" customHeight="1" thickBot="1" x14ac:dyDescent="0.4">
      <c r="A127" s="92"/>
      <c r="B127" s="140" t="s">
        <v>29</v>
      </c>
      <c r="C127" s="141"/>
      <c r="D127" s="141"/>
      <c r="E127" s="141"/>
      <c r="F127" s="141"/>
      <c r="G127" s="141"/>
      <c r="H127" s="141"/>
      <c r="I127" s="141"/>
      <c r="J127" s="141"/>
      <c r="K127" s="141"/>
      <c r="L127" s="141"/>
      <c r="M127" s="141"/>
      <c r="N127" s="141"/>
      <c r="O127" s="141"/>
      <c r="P127" s="141"/>
      <c r="Q127" s="141"/>
      <c r="R127" s="141"/>
      <c r="S127" s="141"/>
      <c r="T127" s="141"/>
      <c r="U127" s="142"/>
      <c r="V127" s="58"/>
      <c r="W127" s="153"/>
      <c r="AA127" s="56"/>
      <c r="AB127" s="56"/>
      <c r="AL127" s="59"/>
    </row>
    <row r="128" spans="1:38" s="55" customFormat="1" ht="30" customHeight="1" x14ac:dyDescent="0.35">
      <c r="A128" s="69">
        <v>14</v>
      </c>
      <c r="B128" s="143" t="s">
        <v>119</v>
      </c>
      <c r="C128" s="144"/>
      <c r="D128" s="144"/>
      <c r="E128" s="144"/>
      <c r="F128" s="144"/>
      <c r="G128" s="144"/>
      <c r="H128" s="144"/>
      <c r="I128" s="144"/>
      <c r="J128" s="144"/>
      <c r="K128" s="144"/>
      <c r="L128" s="144"/>
      <c r="M128" s="144"/>
      <c r="N128" s="144"/>
      <c r="O128" s="144"/>
      <c r="P128" s="144"/>
      <c r="Q128" s="144"/>
      <c r="R128" s="144"/>
      <c r="S128" s="144"/>
      <c r="T128" s="144"/>
      <c r="U128" s="145"/>
      <c r="V128" s="58"/>
      <c r="W128" s="153"/>
      <c r="AA128" s="56"/>
      <c r="AB128" s="56"/>
      <c r="AL128" s="59"/>
    </row>
    <row r="129" spans="1:38" s="55" customFormat="1" ht="30" customHeight="1" x14ac:dyDescent="0.35">
      <c r="A129" s="92"/>
      <c r="B129" s="140" t="s">
        <v>27</v>
      </c>
      <c r="C129" s="141"/>
      <c r="D129" s="141"/>
      <c r="E129" s="141"/>
      <c r="F129" s="141"/>
      <c r="G129" s="141"/>
      <c r="H129" s="141"/>
      <c r="I129" s="141"/>
      <c r="J129" s="141"/>
      <c r="K129" s="141"/>
      <c r="L129" s="141"/>
      <c r="M129" s="141"/>
      <c r="N129" s="141"/>
      <c r="O129" s="141"/>
      <c r="P129" s="141"/>
      <c r="Q129" s="141"/>
      <c r="R129" s="141"/>
      <c r="S129" s="141"/>
      <c r="T129" s="141"/>
      <c r="U129" s="142"/>
      <c r="V129" s="58"/>
      <c r="W129" s="153"/>
      <c r="AA129" s="56"/>
      <c r="AB129" s="56"/>
      <c r="AL129" s="59"/>
    </row>
    <row r="130" spans="1:38" s="55" customFormat="1" ht="30" customHeight="1" x14ac:dyDescent="0.35">
      <c r="A130" s="92"/>
      <c r="B130" s="140" t="s">
        <v>28</v>
      </c>
      <c r="C130" s="141"/>
      <c r="D130" s="141"/>
      <c r="E130" s="141"/>
      <c r="F130" s="141"/>
      <c r="G130" s="141"/>
      <c r="H130" s="141"/>
      <c r="I130" s="141"/>
      <c r="J130" s="141"/>
      <c r="K130" s="141"/>
      <c r="L130" s="141"/>
      <c r="M130" s="141"/>
      <c r="N130" s="141"/>
      <c r="O130" s="141"/>
      <c r="P130" s="141"/>
      <c r="Q130" s="141"/>
      <c r="R130" s="141"/>
      <c r="S130" s="141"/>
      <c r="T130" s="141"/>
      <c r="U130" s="142"/>
      <c r="V130" s="58"/>
      <c r="W130" s="153"/>
      <c r="AA130" s="56"/>
      <c r="AB130" s="56"/>
      <c r="AL130" s="59"/>
    </row>
    <row r="131" spans="1:38" s="55" customFormat="1" ht="30" customHeight="1" x14ac:dyDescent="0.35">
      <c r="A131" s="92"/>
      <c r="B131" s="140" t="s">
        <v>29</v>
      </c>
      <c r="C131" s="141"/>
      <c r="D131" s="141"/>
      <c r="E131" s="141"/>
      <c r="F131" s="141"/>
      <c r="G131" s="141"/>
      <c r="H131" s="141"/>
      <c r="I131" s="141"/>
      <c r="J131" s="141"/>
      <c r="K131" s="141"/>
      <c r="L131" s="141"/>
      <c r="M131" s="141"/>
      <c r="N131" s="141"/>
      <c r="O131" s="141"/>
      <c r="P131" s="141"/>
      <c r="Q131" s="141"/>
      <c r="R131" s="141"/>
      <c r="S131" s="141"/>
      <c r="T131" s="141"/>
      <c r="U131" s="142"/>
      <c r="V131" s="58"/>
      <c r="W131" s="153"/>
      <c r="AA131" s="56"/>
      <c r="AB131" s="56"/>
      <c r="AL131" s="59"/>
    </row>
    <row r="132" spans="1:38" s="55" customFormat="1" ht="30" customHeight="1" thickBot="1" x14ac:dyDescent="0.4">
      <c r="A132" s="92"/>
      <c r="B132" s="140" t="s">
        <v>120</v>
      </c>
      <c r="C132" s="141"/>
      <c r="D132" s="141"/>
      <c r="E132" s="141"/>
      <c r="F132" s="141"/>
      <c r="G132" s="141"/>
      <c r="H132" s="141"/>
      <c r="I132" s="141"/>
      <c r="J132" s="141"/>
      <c r="K132" s="141"/>
      <c r="L132" s="141"/>
      <c r="M132" s="141"/>
      <c r="N132" s="141"/>
      <c r="O132" s="141"/>
      <c r="P132" s="141"/>
      <c r="Q132" s="141"/>
      <c r="R132" s="141"/>
      <c r="S132" s="141"/>
      <c r="T132" s="141"/>
      <c r="U132" s="142"/>
      <c r="V132" s="58"/>
      <c r="W132" s="153"/>
      <c r="AA132" s="56"/>
      <c r="AB132" s="56"/>
      <c r="AL132" s="59"/>
    </row>
    <row r="133" spans="1:38" s="55" customFormat="1" ht="30" customHeight="1" x14ac:dyDescent="0.35">
      <c r="A133" s="69">
        <v>15</v>
      </c>
      <c r="B133" s="143" t="s">
        <v>121</v>
      </c>
      <c r="C133" s="144"/>
      <c r="D133" s="144"/>
      <c r="E133" s="144"/>
      <c r="F133" s="144"/>
      <c r="G133" s="144"/>
      <c r="H133" s="144"/>
      <c r="I133" s="144"/>
      <c r="J133" s="144"/>
      <c r="K133" s="144"/>
      <c r="L133" s="144"/>
      <c r="M133" s="144"/>
      <c r="N133" s="144"/>
      <c r="O133" s="144"/>
      <c r="P133" s="144"/>
      <c r="Q133" s="144"/>
      <c r="R133" s="144"/>
      <c r="S133" s="144"/>
      <c r="T133" s="144"/>
      <c r="U133" s="145"/>
      <c r="V133" s="58"/>
      <c r="W133" s="153"/>
      <c r="AA133" s="56"/>
      <c r="AB133" s="56"/>
      <c r="AL133" s="59"/>
    </row>
    <row r="134" spans="1:38" s="55" customFormat="1" ht="30" customHeight="1" x14ac:dyDescent="0.35">
      <c r="A134" s="92"/>
      <c r="B134" s="140" t="s">
        <v>122</v>
      </c>
      <c r="C134" s="141"/>
      <c r="D134" s="141"/>
      <c r="E134" s="141"/>
      <c r="F134" s="141"/>
      <c r="G134" s="141"/>
      <c r="H134" s="141"/>
      <c r="I134" s="141"/>
      <c r="J134" s="141"/>
      <c r="K134" s="141"/>
      <c r="L134" s="141"/>
      <c r="M134" s="141"/>
      <c r="N134" s="141"/>
      <c r="O134" s="141"/>
      <c r="P134" s="141"/>
      <c r="Q134" s="141"/>
      <c r="R134" s="141"/>
      <c r="S134" s="141"/>
      <c r="T134" s="141"/>
      <c r="U134" s="142"/>
      <c r="V134" s="58"/>
      <c r="W134" s="153"/>
      <c r="AA134" s="56"/>
      <c r="AB134" s="56"/>
      <c r="AL134" s="59"/>
    </row>
    <row r="135" spans="1:38" s="55" customFormat="1" ht="30" customHeight="1" x14ac:dyDescent="0.35">
      <c r="A135" s="92"/>
      <c r="B135" s="140" t="s">
        <v>27</v>
      </c>
      <c r="C135" s="141"/>
      <c r="D135" s="141"/>
      <c r="E135" s="141"/>
      <c r="F135" s="141"/>
      <c r="G135" s="141"/>
      <c r="H135" s="141"/>
      <c r="I135" s="141"/>
      <c r="J135" s="141"/>
      <c r="K135" s="141"/>
      <c r="L135" s="141"/>
      <c r="M135" s="141"/>
      <c r="N135" s="141"/>
      <c r="O135" s="141"/>
      <c r="P135" s="141"/>
      <c r="Q135" s="141"/>
      <c r="R135" s="141"/>
      <c r="S135" s="141"/>
      <c r="T135" s="141"/>
      <c r="U135" s="142"/>
      <c r="V135" s="58"/>
      <c r="W135" s="153"/>
      <c r="AA135" s="56"/>
      <c r="AB135" s="56"/>
      <c r="AL135" s="59"/>
    </row>
    <row r="136" spans="1:38" s="55" customFormat="1" ht="30" customHeight="1" x14ac:dyDescent="0.35">
      <c r="A136" s="92"/>
      <c r="B136" s="140" t="s">
        <v>28</v>
      </c>
      <c r="C136" s="141"/>
      <c r="D136" s="141"/>
      <c r="E136" s="141"/>
      <c r="F136" s="141"/>
      <c r="G136" s="141"/>
      <c r="H136" s="141"/>
      <c r="I136" s="141"/>
      <c r="J136" s="141"/>
      <c r="K136" s="141"/>
      <c r="L136" s="141"/>
      <c r="M136" s="141"/>
      <c r="N136" s="141"/>
      <c r="O136" s="141"/>
      <c r="P136" s="141"/>
      <c r="Q136" s="141"/>
      <c r="R136" s="141"/>
      <c r="S136" s="141"/>
      <c r="T136" s="141"/>
      <c r="U136" s="142"/>
      <c r="V136" s="58"/>
      <c r="W136" s="153"/>
      <c r="AA136" s="56"/>
      <c r="AB136" s="56"/>
      <c r="AL136" s="59"/>
    </row>
    <row r="137" spans="1:38" s="55" customFormat="1" ht="30" customHeight="1" x14ac:dyDescent="0.35">
      <c r="A137" s="92"/>
      <c r="B137" s="140" t="s">
        <v>29</v>
      </c>
      <c r="C137" s="141"/>
      <c r="D137" s="141"/>
      <c r="E137" s="141"/>
      <c r="F137" s="141"/>
      <c r="G137" s="141"/>
      <c r="H137" s="141"/>
      <c r="I137" s="141"/>
      <c r="J137" s="141"/>
      <c r="K137" s="141"/>
      <c r="L137" s="141"/>
      <c r="M137" s="141"/>
      <c r="N137" s="141"/>
      <c r="O137" s="141"/>
      <c r="P137" s="141"/>
      <c r="Q137" s="141"/>
      <c r="R137" s="141"/>
      <c r="S137" s="141"/>
      <c r="T137" s="141"/>
      <c r="U137" s="142"/>
      <c r="V137" s="58"/>
      <c r="W137" s="153"/>
      <c r="AA137" s="56"/>
      <c r="AB137" s="56"/>
      <c r="AL137" s="59"/>
    </row>
    <row r="138" spans="1:38" s="55" customFormat="1" ht="30" customHeight="1" x14ac:dyDescent="0.35">
      <c r="A138" s="92"/>
      <c r="B138" s="140" t="s">
        <v>120</v>
      </c>
      <c r="C138" s="141"/>
      <c r="D138" s="141"/>
      <c r="E138" s="141"/>
      <c r="F138" s="141"/>
      <c r="G138" s="141"/>
      <c r="H138" s="141"/>
      <c r="I138" s="141"/>
      <c r="J138" s="141"/>
      <c r="K138" s="141"/>
      <c r="L138" s="141"/>
      <c r="M138" s="141"/>
      <c r="N138" s="141"/>
      <c r="O138" s="141"/>
      <c r="P138" s="141"/>
      <c r="Q138" s="141"/>
      <c r="R138" s="141"/>
      <c r="S138" s="141"/>
      <c r="T138" s="141"/>
      <c r="U138" s="142"/>
      <c r="V138" s="58"/>
      <c r="W138" s="153"/>
      <c r="AA138" s="56"/>
      <c r="AB138" s="56"/>
      <c r="AL138" s="59"/>
    </row>
    <row r="139" spans="1:38" s="55" customFormat="1" ht="30" customHeight="1" x14ac:dyDescent="0.35">
      <c r="A139" s="92"/>
      <c r="B139" s="140" t="s">
        <v>131</v>
      </c>
      <c r="C139" s="141"/>
      <c r="D139" s="141"/>
      <c r="E139" s="141"/>
      <c r="F139" s="141"/>
      <c r="G139" s="141"/>
      <c r="H139" s="141"/>
      <c r="I139" s="141"/>
      <c r="J139" s="141"/>
      <c r="K139" s="141"/>
      <c r="L139" s="141"/>
      <c r="M139" s="141"/>
      <c r="N139" s="141"/>
      <c r="O139" s="141"/>
      <c r="P139" s="141"/>
      <c r="Q139" s="141"/>
      <c r="R139" s="141"/>
      <c r="S139" s="141"/>
      <c r="T139" s="141"/>
      <c r="U139" s="142"/>
      <c r="V139" s="58"/>
      <c r="W139" s="153"/>
      <c r="AA139" s="56"/>
      <c r="AB139" s="56"/>
      <c r="AL139" s="59"/>
    </row>
    <row r="140" spans="1:38" s="55" customFormat="1" ht="30" customHeight="1" thickBot="1" x14ac:dyDescent="0.4">
      <c r="A140" s="92"/>
      <c r="B140" s="146" t="s">
        <v>130</v>
      </c>
      <c r="C140" s="147"/>
      <c r="D140" s="147"/>
      <c r="E140" s="147"/>
      <c r="F140" s="147"/>
      <c r="G140" s="147"/>
      <c r="H140" s="147"/>
      <c r="I140" s="147"/>
      <c r="J140" s="147"/>
      <c r="K140" s="147"/>
      <c r="L140" s="147"/>
      <c r="M140" s="147"/>
      <c r="N140" s="147"/>
      <c r="O140" s="147"/>
      <c r="P140" s="147"/>
      <c r="Q140" s="147"/>
      <c r="R140" s="147"/>
      <c r="S140" s="147"/>
      <c r="T140" s="147"/>
      <c r="U140" s="148"/>
      <c r="V140" s="58"/>
      <c r="W140" s="153"/>
      <c r="AA140" s="56"/>
      <c r="AB140" s="56"/>
      <c r="AL140" s="59"/>
    </row>
    <row r="141" spans="1:38" ht="409.6" customHeight="1" x14ac:dyDescent="0.25">
      <c r="A141" s="69">
        <v>16</v>
      </c>
      <c r="B141" s="152" t="s">
        <v>68</v>
      </c>
      <c r="C141" s="152"/>
      <c r="D141" s="152"/>
      <c r="E141" s="152"/>
      <c r="F141" s="152"/>
      <c r="G141" s="152"/>
      <c r="H141" s="152"/>
      <c r="I141" s="152"/>
      <c r="J141" s="152"/>
      <c r="K141" s="152"/>
      <c r="L141" s="152"/>
      <c r="M141" s="152"/>
      <c r="N141" s="152"/>
      <c r="O141" s="152"/>
      <c r="P141" s="152"/>
      <c r="Q141" s="152"/>
      <c r="R141" s="152"/>
      <c r="S141" s="152"/>
      <c r="T141" s="152"/>
      <c r="U141" s="152"/>
      <c r="W141" s="133"/>
    </row>
    <row r="142" spans="1:38" ht="60" customHeight="1" x14ac:dyDescent="0.25">
      <c r="A142" s="69">
        <v>17</v>
      </c>
      <c r="B142" s="149" t="s">
        <v>33</v>
      </c>
      <c r="C142" s="149"/>
      <c r="D142" s="149"/>
      <c r="E142" s="149"/>
      <c r="F142" s="149"/>
      <c r="G142" s="149"/>
      <c r="H142" s="149"/>
      <c r="I142" s="149"/>
      <c r="J142" s="149"/>
      <c r="K142" s="149"/>
      <c r="L142" s="149"/>
      <c r="M142" s="149"/>
      <c r="N142" s="149"/>
      <c r="O142" s="149"/>
      <c r="P142" s="149"/>
      <c r="Q142" s="149"/>
      <c r="R142" s="149"/>
      <c r="S142" s="149"/>
      <c r="T142" s="149"/>
      <c r="U142" s="149"/>
    </row>
    <row r="143" spans="1:38" ht="45" customHeight="1" x14ac:dyDescent="0.25">
      <c r="A143" s="69">
        <v>18</v>
      </c>
      <c r="B143" s="149" t="s">
        <v>34</v>
      </c>
      <c r="C143" s="149"/>
      <c r="D143" s="149"/>
      <c r="E143" s="149"/>
      <c r="F143" s="149"/>
      <c r="G143" s="149"/>
      <c r="H143" s="149"/>
      <c r="I143" s="149"/>
      <c r="J143" s="149"/>
      <c r="K143" s="149"/>
      <c r="L143" s="149"/>
      <c r="M143" s="149"/>
      <c r="N143" s="149"/>
      <c r="O143" s="149"/>
      <c r="P143" s="149"/>
      <c r="Q143" s="149"/>
      <c r="R143" s="149"/>
      <c r="S143" s="149"/>
      <c r="T143" s="149"/>
      <c r="U143" s="149"/>
    </row>
    <row r="144" spans="1:38" ht="45" customHeight="1" x14ac:dyDescent="0.25">
      <c r="A144" s="69">
        <v>19</v>
      </c>
      <c r="B144" s="150" t="s">
        <v>20</v>
      </c>
      <c r="C144" s="150"/>
      <c r="D144" s="150"/>
      <c r="E144" s="150"/>
      <c r="F144" s="150"/>
      <c r="G144" s="150"/>
      <c r="H144" s="150"/>
      <c r="I144" s="150"/>
      <c r="J144" s="150"/>
      <c r="K144" s="150"/>
      <c r="L144" s="150"/>
      <c r="M144" s="150"/>
      <c r="N144" s="150"/>
      <c r="O144" s="150"/>
      <c r="P144" s="150"/>
      <c r="Q144" s="150"/>
      <c r="R144" s="150"/>
      <c r="S144" s="150"/>
      <c r="T144" s="150"/>
      <c r="U144" s="150"/>
    </row>
    <row r="145" spans="1:21" ht="45" customHeight="1" x14ac:dyDescent="0.25">
      <c r="A145" s="69">
        <v>20</v>
      </c>
      <c r="B145" s="149" t="s">
        <v>9</v>
      </c>
      <c r="C145" s="149"/>
      <c r="D145" s="149"/>
      <c r="E145" s="149"/>
      <c r="F145" s="149"/>
      <c r="G145" s="149"/>
      <c r="H145" s="149"/>
      <c r="I145" s="149"/>
      <c r="J145" s="149"/>
      <c r="K145" s="149"/>
      <c r="L145" s="149"/>
      <c r="M145" s="149"/>
      <c r="N145" s="149"/>
      <c r="O145" s="149"/>
      <c r="P145" s="149"/>
      <c r="Q145" s="149"/>
      <c r="R145" s="149"/>
      <c r="S145" s="149"/>
      <c r="T145" s="149"/>
      <c r="U145" s="149"/>
    </row>
    <row r="146" spans="1:21" ht="32.25" customHeight="1" x14ac:dyDescent="0.25">
      <c r="A146" s="69"/>
      <c r="B146" s="134"/>
      <c r="C146" s="134"/>
      <c r="D146" s="134"/>
      <c r="E146" s="134"/>
      <c r="F146" s="134"/>
      <c r="G146" s="134"/>
      <c r="H146" s="136"/>
      <c r="I146" s="136"/>
      <c r="J146" s="136"/>
      <c r="K146" s="136"/>
      <c r="L146" s="134"/>
      <c r="M146" s="134"/>
      <c r="N146" s="134"/>
      <c r="O146" s="134"/>
      <c r="P146" s="134"/>
      <c r="Q146" s="134"/>
      <c r="R146" s="134"/>
      <c r="S146" s="134"/>
      <c r="T146" s="134"/>
      <c r="U146" s="134"/>
    </row>
    <row r="147" spans="1:21" ht="26.25" customHeight="1" x14ac:dyDescent="0.3">
      <c r="B147" s="63"/>
      <c r="C147" s="64"/>
      <c r="D147" s="64"/>
    </row>
    <row r="148" spans="1:21" ht="30" customHeight="1" x14ac:dyDescent="0.3">
      <c r="B148" s="63"/>
      <c r="C148" s="64"/>
      <c r="D148" s="64"/>
    </row>
    <row r="149" spans="1:21" ht="30" customHeight="1" x14ac:dyDescent="0.3">
      <c r="B149" s="63"/>
      <c r="C149" s="64"/>
      <c r="D149" s="64"/>
    </row>
    <row r="150" spans="1:21" ht="30" customHeight="1" x14ac:dyDescent="0.3">
      <c r="B150" s="71"/>
      <c r="C150" s="72"/>
      <c r="D150" s="73"/>
    </row>
    <row r="151" spans="1:21" ht="47.25" customHeight="1" x14ac:dyDescent="0.25">
      <c r="B151" s="151"/>
      <c r="C151" s="151"/>
      <c r="D151" s="151"/>
    </row>
    <row r="152" spans="1:21" ht="53.25" customHeight="1" x14ac:dyDescent="0.25">
      <c r="B152" s="151"/>
      <c r="C152" s="151"/>
      <c r="D152" s="151"/>
    </row>
  </sheetData>
  <mergeCells count="90">
    <mergeCell ref="A7:U7"/>
    <mergeCell ref="A8:U8"/>
    <mergeCell ref="A9:U9"/>
    <mergeCell ref="A10:U10"/>
    <mergeCell ref="R12:U12"/>
    <mergeCell ref="A14:A15"/>
    <mergeCell ref="B14:B15"/>
    <mergeCell ref="C14:C15"/>
    <mergeCell ref="D14:D15"/>
    <mergeCell ref="E14:J14"/>
    <mergeCell ref="B81:U81"/>
    <mergeCell ref="N14:N15"/>
    <mergeCell ref="O14:Q14"/>
    <mergeCell ref="R14:T14"/>
    <mergeCell ref="U14:U15"/>
    <mergeCell ref="B74:U74"/>
    <mergeCell ref="B75:U75"/>
    <mergeCell ref="K14:M14"/>
    <mergeCell ref="B76:U76"/>
    <mergeCell ref="B77:U77"/>
    <mergeCell ref="B78:U78"/>
    <mergeCell ref="B79:U79"/>
    <mergeCell ref="B80:U80"/>
    <mergeCell ref="B87:U87"/>
    <mergeCell ref="B88:U88"/>
    <mergeCell ref="B89:U89"/>
    <mergeCell ref="B90:U90"/>
    <mergeCell ref="B96:U96"/>
    <mergeCell ref="B97:U97"/>
    <mergeCell ref="B91:U91"/>
    <mergeCell ref="B92:U92"/>
    <mergeCell ref="B93:U93"/>
    <mergeCell ref="B94:U94"/>
    <mergeCell ref="B95:U95"/>
    <mergeCell ref="W103:W140"/>
    <mergeCell ref="B104:U104"/>
    <mergeCell ref="B125:U125"/>
    <mergeCell ref="B126:U126"/>
    <mergeCell ref="B127:U127"/>
    <mergeCell ref="B128:U128"/>
    <mergeCell ref="B139:U139"/>
    <mergeCell ref="B107:U107"/>
    <mergeCell ref="B131:U131"/>
    <mergeCell ref="B132:U132"/>
    <mergeCell ref="B133:U133"/>
    <mergeCell ref="B134:U134"/>
    <mergeCell ref="B135:U135"/>
    <mergeCell ref="B110:U110"/>
    <mergeCell ref="B111:U111"/>
    <mergeCell ref="B112:U112"/>
    <mergeCell ref="B82:U82"/>
    <mergeCell ref="B83:U83"/>
    <mergeCell ref="B84:U84"/>
    <mergeCell ref="B85:U85"/>
    <mergeCell ref="B86:U86"/>
    <mergeCell ref="B152:D152"/>
    <mergeCell ref="B113:U113"/>
    <mergeCell ref="B114:U114"/>
    <mergeCell ref="B123:U123"/>
    <mergeCell ref="B124:U124"/>
    <mergeCell ref="B115:U115"/>
    <mergeCell ref="B116:U116"/>
    <mergeCell ref="B117:U117"/>
    <mergeCell ref="B118:U118"/>
    <mergeCell ref="B119:U119"/>
    <mergeCell ref="B120:U120"/>
    <mergeCell ref="B121:U121"/>
    <mergeCell ref="B122:U122"/>
    <mergeCell ref="B129:U129"/>
    <mergeCell ref="B130:U130"/>
    <mergeCell ref="B136:U136"/>
    <mergeCell ref="B143:U143"/>
    <mergeCell ref="B144:U144"/>
    <mergeCell ref="B145:U145"/>
    <mergeCell ref="B151:D151"/>
    <mergeCell ref="B137:U137"/>
    <mergeCell ref="B138:U138"/>
    <mergeCell ref="B140:U140"/>
    <mergeCell ref="B142:U142"/>
    <mergeCell ref="B141:U141"/>
    <mergeCell ref="B98:U98"/>
    <mergeCell ref="B99:U99"/>
    <mergeCell ref="B102:U102"/>
    <mergeCell ref="B108:U108"/>
    <mergeCell ref="B109:U109"/>
    <mergeCell ref="B103:U103"/>
    <mergeCell ref="B100:U100"/>
    <mergeCell ref="B101:U101"/>
    <mergeCell ref="B105:U105"/>
    <mergeCell ref="B106:U106"/>
  </mergeCells>
  <pageMargins left="0.49" right="0.43307086614173229" top="0.25" bottom="0.31" header="0.17" footer="0.17"/>
  <pageSetup paperSize="9" scale="49" fitToHeight="0" orientation="landscape" r:id="rId1"/>
  <headerFooter>
    <oddFooter>&amp;Cстр. &amp;P&amp;Rвсего стр. &amp;N</oddFooter>
  </headerFooter>
  <rowBreaks count="4" manualBreakCount="4">
    <brk id="34" max="20" man="1"/>
    <brk id="65" max="20" man="1"/>
    <brk id="93" max="20" man="1"/>
    <brk id="131" max="2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 Кубинская 2 оч</vt:lpstr>
      <vt:lpstr>'расчет Кубинская 2 оч'!Область_печати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Саблина Людмила Константиновна</dc:creator>
  <cp:lastModifiedBy>Гонтарь Екатерина Николаевна</cp:lastModifiedBy>
  <cp:lastPrinted>2025-01-09T12:29:54Z</cp:lastPrinted>
  <dcterms:created xsi:type="dcterms:W3CDTF">2018-05-25T09:20:36Z</dcterms:created>
  <dcterms:modified xsi:type="dcterms:W3CDTF">2025-02-12T07:50:17Z</dcterms:modified>
</cp:coreProperties>
</file>